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aac\Documents\0 - Webprojects\ProjectFinance Cases\Working Folders\Financial Real State development\Nihi Villa Case Study\"/>
    </mc:Choice>
  </mc:AlternateContent>
  <xr:revisionPtr revIDLastSave="0" documentId="13_ncr:20001_{A870CB78-928F-4ED0-B919-6E7E9361E0C8}" xr6:coauthVersionLast="47" xr6:coauthVersionMax="47" xr10:uidLastSave="{00000000-0000-0000-0000-000000000000}"/>
  <bookViews>
    <workbookView xWindow="45960" yWindow="-120" windowWidth="29040" windowHeight="15720" activeTab="1" xr2:uid="{00000000-000D-0000-FFFF-FFFF00000000}"/>
  </bookViews>
  <sheets>
    <sheet name="Cover" sheetId="1" r:id="rId1"/>
    <sheet name="Dashboard" sheetId="14" r:id="rId2"/>
    <sheet name="Unit P&amp;L" sheetId="13" r:id="rId3"/>
    <sheet name="Cash Flow" sheetId="12" r:id="rId4"/>
    <sheet name="Allocation" sheetId="10" r:id="rId5"/>
    <sheet name="Villas" sheetId="3" r:id="rId6"/>
    <sheet name="Sales Plan" sheetId="11" r:id="rId7"/>
    <sheet name="Budget" sheetId="9" r:id="rId8"/>
    <sheet name="Inputs" sheetId="2" r:id="rId9"/>
    <sheet name="Vendors" sheetId="4" r:id="rId10"/>
    <sheet name="Bank_IDR" sheetId="5" state="veryHidden" r:id="rId11"/>
    <sheet name="Bank_USD" sheetId="6" state="veryHidden" r:id="rId12"/>
    <sheet name="Outflows" sheetId="7" r:id="rId13"/>
    <sheet name="Inflows" sheetId="8" r:id="rId14"/>
    <sheet name="Checks" sheetId="15" state="veryHidden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8" l="1"/>
  <c r="G30" i="9"/>
  <c r="AV7" i="9"/>
  <c r="AV8" i="9"/>
  <c r="AV9" i="9"/>
  <c r="AV10" i="9"/>
  <c r="AV11" i="9"/>
  <c r="AV12" i="9"/>
  <c r="AV13" i="9"/>
  <c r="AV14" i="9"/>
  <c r="AV15" i="9"/>
  <c r="AV16" i="9"/>
  <c r="AV17" i="9"/>
  <c r="AV18" i="9"/>
  <c r="AV19" i="9"/>
  <c r="AV20" i="9"/>
  <c r="AV21" i="9"/>
  <c r="AV22" i="9"/>
  <c r="AV23" i="9"/>
  <c r="AV24" i="9"/>
  <c r="AV25" i="9"/>
  <c r="AV26" i="9"/>
  <c r="AV27" i="9"/>
  <c r="AV28" i="9"/>
  <c r="AV29" i="9"/>
  <c r="AV30" i="9"/>
  <c r="AV31" i="9"/>
  <c r="AV32" i="9"/>
  <c r="AV33" i="9"/>
  <c r="AV34" i="9"/>
  <c r="AV35" i="9"/>
  <c r="AV36" i="9"/>
  <c r="AV37" i="9"/>
  <c r="AV38" i="9"/>
  <c r="B23" i="3"/>
  <c r="D23" i="3" s="1"/>
  <c r="E23" i="3" s="1"/>
  <c r="F9" i="12"/>
  <c r="F10" i="12"/>
  <c r="F11" i="12"/>
  <c r="F12" i="12"/>
  <c r="F8" i="12"/>
  <c r="E8" i="12"/>
  <c r="E9" i="12"/>
  <c r="E10" i="12"/>
  <c r="E11" i="12"/>
  <c r="E12" i="12"/>
  <c r="D25" i="15"/>
  <c r="C90" i="14"/>
  <c r="A90" i="14"/>
  <c r="C89" i="14"/>
  <c r="A89" i="14"/>
  <c r="C88" i="14"/>
  <c r="A88" i="14"/>
  <c r="C87" i="14"/>
  <c r="A87" i="14"/>
  <c r="C86" i="14"/>
  <c r="A86" i="14"/>
  <c r="C85" i="14"/>
  <c r="A85" i="14"/>
  <c r="C84" i="14"/>
  <c r="A84" i="14"/>
  <c r="C83" i="14"/>
  <c r="A83" i="14"/>
  <c r="C82" i="14"/>
  <c r="A82" i="14"/>
  <c r="C81" i="14"/>
  <c r="A81" i="14"/>
  <c r="C80" i="14"/>
  <c r="A80" i="14"/>
  <c r="C79" i="14"/>
  <c r="A79" i="14"/>
  <c r="C78" i="14"/>
  <c r="A78" i="14"/>
  <c r="C77" i="14"/>
  <c r="A77" i="14"/>
  <c r="C76" i="14"/>
  <c r="A76" i="14"/>
  <c r="C75" i="14"/>
  <c r="A75" i="14"/>
  <c r="C74" i="14"/>
  <c r="A74" i="14"/>
  <c r="C73" i="14"/>
  <c r="A73" i="14"/>
  <c r="C72" i="14"/>
  <c r="A72" i="14"/>
  <c r="C71" i="14"/>
  <c r="A71" i="14"/>
  <c r="C70" i="14"/>
  <c r="A70" i="14"/>
  <c r="C69" i="14"/>
  <c r="A69" i="14"/>
  <c r="C68" i="14"/>
  <c r="A68" i="14"/>
  <c r="C67" i="14"/>
  <c r="A67" i="14"/>
  <c r="C66" i="14"/>
  <c r="A66" i="14"/>
  <c r="C65" i="14"/>
  <c r="A65" i="14"/>
  <c r="C64" i="14"/>
  <c r="A64" i="14"/>
  <c r="C63" i="14"/>
  <c r="A63" i="14"/>
  <c r="C62" i="14"/>
  <c r="A62" i="14"/>
  <c r="C61" i="14"/>
  <c r="A61" i="14"/>
  <c r="C60" i="14"/>
  <c r="A60" i="14"/>
  <c r="C59" i="14"/>
  <c r="A59" i="14"/>
  <c r="C58" i="14"/>
  <c r="A58" i="14"/>
  <c r="C57" i="14"/>
  <c r="A57" i="14"/>
  <c r="C56" i="14"/>
  <c r="A56" i="14"/>
  <c r="C55" i="14"/>
  <c r="A55" i="14"/>
  <c r="C54" i="14"/>
  <c r="A54" i="14"/>
  <c r="C53" i="14"/>
  <c r="A53" i="14"/>
  <c r="C52" i="14"/>
  <c r="A52" i="14"/>
  <c r="C51" i="14"/>
  <c r="A51" i="14"/>
  <c r="C50" i="14"/>
  <c r="A50" i="14"/>
  <c r="C49" i="14"/>
  <c r="A49" i="14"/>
  <c r="C48" i="14"/>
  <c r="A48" i="14"/>
  <c r="C47" i="14"/>
  <c r="A47" i="14"/>
  <c r="C46" i="14"/>
  <c r="A46" i="14"/>
  <c r="C45" i="14"/>
  <c r="A45" i="14"/>
  <c r="C44" i="14"/>
  <c r="A44" i="14"/>
  <c r="A26" i="14"/>
  <c r="A25" i="14"/>
  <c r="A24" i="14"/>
  <c r="A23" i="14"/>
  <c r="A22" i="14"/>
  <c r="A21" i="14"/>
  <c r="A20" i="14"/>
  <c r="A19" i="14"/>
  <c r="A18" i="14"/>
  <c r="L25" i="13"/>
  <c r="K25" i="13"/>
  <c r="J25" i="13"/>
  <c r="I25" i="13"/>
  <c r="H25" i="13"/>
  <c r="F25" i="13"/>
  <c r="E25" i="13"/>
  <c r="H8" i="13"/>
  <c r="L7" i="13"/>
  <c r="K7" i="13"/>
  <c r="K8" i="13" s="1"/>
  <c r="J7" i="13"/>
  <c r="J8" i="13" s="1"/>
  <c r="I7" i="13"/>
  <c r="H7" i="13"/>
  <c r="G7" i="13"/>
  <c r="F7" i="13"/>
  <c r="E7" i="13"/>
  <c r="D7" i="13"/>
  <c r="L6" i="13"/>
  <c r="K6" i="13"/>
  <c r="J6" i="13"/>
  <c r="I6" i="13"/>
  <c r="I8" i="13" s="1"/>
  <c r="B23" i="14" s="1"/>
  <c r="H6" i="13"/>
  <c r="G6" i="13"/>
  <c r="G8" i="13" s="1"/>
  <c r="F6" i="13"/>
  <c r="E6" i="13"/>
  <c r="D6" i="13"/>
  <c r="G53" i="12"/>
  <c r="F48" i="12"/>
  <c r="E48" i="12"/>
  <c r="A48" i="12"/>
  <c r="F47" i="12"/>
  <c r="E47" i="12"/>
  <c r="A47" i="12"/>
  <c r="F46" i="12"/>
  <c r="E46" i="12"/>
  <c r="A46" i="12"/>
  <c r="F45" i="12"/>
  <c r="E45" i="12"/>
  <c r="A45" i="12"/>
  <c r="F44" i="12"/>
  <c r="E44" i="12"/>
  <c r="A44" i="12"/>
  <c r="F43" i="12"/>
  <c r="E43" i="12"/>
  <c r="A43" i="12"/>
  <c r="F42" i="12"/>
  <c r="E42" i="12"/>
  <c r="A42" i="12"/>
  <c r="F41" i="12"/>
  <c r="E41" i="12"/>
  <c r="A41" i="12"/>
  <c r="F40" i="12"/>
  <c r="E40" i="12"/>
  <c r="A40" i="12"/>
  <c r="F39" i="12"/>
  <c r="E39" i="12"/>
  <c r="A39" i="12"/>
  <c r="F38" i="12"/>
  <c r="E38" i="12"/>
  <c r="A38" i="12"/>
  <c r="F37" i="12"/>
  <c r="E37" i="12"/>
  <c r="A37" i="12"/>
  <c r="F36" i="12"/>
  <c r="E36" i="12"/>
  <c r="A36" i="12"/>
  <c r="F35" i="12"/>
  <c r="E35" i="12"/>
  <c r="A35" i="12"/>
  <c r="F34" i="12"/>
  <c r="E34" i="12"/>
  <c r="A34" i="12"/>
  <c r="F33" i="12"/>
  <c r="E33" i="12"/>
  <c r="A33" i="12"/>
  <c r="F32" i="12"/>
  <c r="E32" i="12"/>
  <c r="A32" i="12"/>
  <c r="F31" i="12"/>
  <c r="E31" i="12"/>
  <c r="A31" i="12"/>
  <c r="F30" i="12"/>
  <c r="E30" i="12"/>
  <c r="A30" i="12"/>
  <c r="F29" i="12"/>
  <c r="E29" i="12"/>
  <c r="A29" i="12"/>
  <c r="F28" i="12"/>
  <c r="E28" i="12"/>
  <c r="A28" i="12"/>
  <c r="F27" i="12"/>
  <c r="E27" i="12"/>
  <c r="A27" i="12"/>
  <c r="F26" i="12"/>
  <c r="E26" i="12"/>
  <c r="A26" i="12"/>
  <c r="F25" i="12"/>
  <c r="E25" i="12"/>
  <c r="A25" i="12"/>
  <c r="F24" i="12"/>
  <c r="E24" i="12"/>
  <c r="A24" i="12"/>
  <c r="F23" i="12"/>
  <c r="E23" i="12"/>
  <c r="A23" i="12"/>
  <c r="F22" i="12"/>
  <c r="E22" i="12"/>
  <c r="A22" i="12"/>
  <c r="F21" i="12"/>
  <c r="E21" i="12"/>
  <c r="A21" i="12"/>
  <c r="F20" i="12"/>
  <c r="E20" i="12"/>
  <c r="A20" i="12"/>
  <c r="F19" i="12"/>
  <c r="E19" i="12"/>
  <c r="A19" i="12"/>
  <c r="F18" i="12"/>
  <c r="E18" i="12"/>
  <c r="A18" i="12"/>
  <c r="F17" i="12"/>
  <c r="E17" i="12"/>
  <c r="A17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AD13" i="12"/>
  <c r="BA12" i="12"/>
  <c r="AZ12" i="12"/>
  <c r="AY12" i="12"/>
  <c r="AX12" i="12"/>
  <c r="AW12" i="12"/>
  <c r="AU12" i="12"/>
  <c r="AT12" i="12"/>
  <c r="AS12" i="12"/>
  <c r="AR12" i="12"/>
  <c r="AQ12" i="12"/>
  <c r="AO12" i="12"/>
  <c r="AN12" i="12"/>
  <c r="AM12" i="12"/>
  <c r="AL12" i="12"/>
  <c r="AK12" i="12"/>
  <c r="AI12" i="12"/>
  <c r="AH12" i="12"/>
  <c r="AG12" i="12"/>
  <c r="AF12" i="12"/>
  <c r="AE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C12" i="12"/>
  <c r="BA11" i="12"/>
  <c r="AZ11" i="12"/>
  <c r="AY11" i="12"/>
  <c r="AX11" i="12"/>
  <c r="AW11" i="12"/>
  <c r="AU11" i="12"/>
  <c r="AT11" i="12"/>
  <c r="AS11" i="12"/>
  <c r="AR11" i="12"/>
  <c r="AQ11" i="12"/>
  <c r="AO11" i="12"/>
  <c r="AN11" i="12"/>
  <c r="AM11" i="12"/>
  <c r="AL11" i="12"/>
  <c r="AK11" i="12"/>
  <c r="AI11" i="12"/>
  <c r="AH11" i="12"/>
  <c r="AG11" i="12"/>
  <c r="AF11" i="12"/>
  <c r="AE11" i="12"/>
  <c r="BA10" i="12"/>
  <c r="AZ10" i="12"/>
  <c r="AY10" i="12"/>
  <c r="AX10" i="12"/>
  <c r="AW10" i="12"/>
  <c r="AU10" i="12"/>
  <c r="AT10" i="12"/>
  <c r="AS10" i="12"/>
  <c r="AR10" i="12"/>
  <c r="AQ10" i="12"/>
  <c r="AO10" i="12"/>
  <c r="AN10" i="12"/>
  <c r="AM10" i="12"/>
  <c r="AL10" i="12"/>
  <c r="AK10" i="12"/>
  <c r="AI10" i="12"/>
  <c r="AH10" i="12"/>
  <c r="AG10" i="12"/>
  <c r="AF10" i="12"/>
  <c r="AE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C10" i="12"/>
  <c r="BA9" i="12"/>
  <c r="AZ9" i="12"/>
  <c r="AY9" i="12"/>
  <c r="AX9" i="12"/>
  <c r="AW9" i="12"/>
  <c r="AU9" i="12"/>
  <c r="AT9" i="12"/>
  <c r="AS9" i="12"/>
  <c r="AR9" i="12"/>
  <c r="AQ9" i="12"/>
  <c r="AO9" i="12"/>
  <c r="AN9" i="12"/>
  <c r="AM9" i="12"/>
  <c r="AL9" i="12"/>
  <c r="AK9" i="12"/>
  <c r="AI9" i="12"/>
  <c r="AH9" i="12"/>
  <c r="AG9" i="12"/>
  <c r="AF9" i="12"/>
  <c r="AE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C9" i="12"/>
  <c r="BA8" i="12"/>
  <c r="AZ8" i="12"/>
  <c r="AY8" i="12"/>
  <c r="AX8" i="12"/>
  <c r="AW8" i="12"/>
  <c r="AU8" i="12"/>
  <c r="AT8" i="12"/>
  <c r="AS8" i="12"/>
  <c r="AR8" i="12"/>
  <c r="AQ8" i="12"/>
  <c r="AO8" i="12"/>
  <c r="AN8" i="12"/>
  <c r="AM8" i="12"/>
  <c r="AL8" i="12"/>
  <c r="AK8" i="12"/>
  <c r="AI8" i="12"/>
  <c r="AH8" i="12"/>
  <c r="AG8" i="12"/>
  <c r="AF8" i="12"/>
  <c r="AE8" i="12"/>
  <c r="C55" i="11"/>
  <c r="C54" i="11"/>
  <c r="C53" i="11"/>
  <c r="C52" i="11"/>
  <c r="C51" i="11"/>
  <c r="C49" i="11"/>
  <c r="C48" i="11"/>
  <c r="I42" i="11"/>
  <c r="F42" i="11"/>
  <c r="I41" i="11"/>
  <c r="F41" i="11"/>
  <c r="I40" i="11"/>
  <c r="F40" i="11"/>
  <c r="I39" i="11"/>
  <c r="F39" i="11"/>
  <c r="I38" i="11"/>
  <c r="F38" i="11"/>
  <c r="I37" i="11"/>
  <c r="F37" i="11"/>
  <c r="I36" i="11"/>
  <c r="F36" i="11"/>
  <c r="I35" i="11"/>
  <c r="F35" i="11"/>
  <c r="I34" i="11"/>
  <c r="F34" i="11"/>
  <c r="I33" i="11"/>
  <c r="F33" i="11"/>
  <c r="I32" i="11"/>
  <c r="F32" i="11"/>
  <c r="I31" i="11"/>
  <c r="F31" i="11"/>
  <c r="I30" i="11"/>
  <c r="F30" i="11"/>
  <c r="I29" i="11"/>
  <c r="F29" i="11"/>
  <c r="I28" i="11"/>
  <c r="F28" i="11"/>
  <c r="I27" i="11"/>
  <c r="F27" i="11"/>
  <c r="I26" i="11"/>
  <c r="F26" i="11"/>
  <c r="I25" i="11"/>
  <c r="F25" i="11"/>
  <c r="I24" i="11"/>
  <c r="F24" i="11"/>
  <c r="I23" i="11"/>
  <c r="F23" i="11"/>
  <c r="I22" i="11"/>
  <c r="I21" i="11"/>
  <c r="I20" i="11"/>
  <c r="I19" i="11"/>
  <c r="I18" i="11"/>
  <c r="F18" i="11"/>
  <c r="I17" i="11"/>
  <c r="F17" i="11"/>
  <c r="I16" i="11"/>
  <c r="F16" i="11"/>
  <c r="I15" i="11"/>
  <c r="F15" i="11"/>
  <c r="I14" i="11"/>
  <c r="F14" i="11"/>
  <c r="I13" i="11"/>
  <c r="F13" i="11"/>
  <c r="I12" i="11"/>
  <c r="F12" i="11"/>
  <c r="I11" i="11"/>
  <c r="F11" i="11"/>
  <c r="I10" i="11"/>
  <c r="I9" i="11"/>
  <c r="I8" i="11"/>
  <c r="I7" i="11"/>
  <c r="C112" i="10"/>
  <c r="B112" i="10"/>
  <c r="A112" i="10"/>
  <c r="C111" i="10"/>
  <c r="B111" i="10"/>
  <c r="A111" i="10"/>
  <c r="C110" i="10"/>
  <c r="B110" i="10"/>
  <c r="A110" i="10"/>
  <c r="C109" i="10"/>
  <c r="B109" i="10"/>
  <c r="A109" i="10"/>
  <c r="C108" i="10"/>
  <c r="B108" i="10"/>
  <c r="A108" i="10"/>
  <c r="C107" i="10"/>
  <c r="B107" i="10"/>
  <c r="A107" i="10"/>
  <c r="C106" i="10"/>
  <c r="B106" i="10"/>
  <c r="A106" i="10"/>
  <c r="C105" i="10"/>
  <c r="B105" i="10"/>
  <c r="A105" i="10"/>
  <c r="C104" i="10"/>
  <c r="B104" i="10"/>
  <c r="A104" i="10"/>
  <c r="C103" i="10"/>
  <c r="B103" i="10"/>
  <c r="A103" i="10"/>
  <c r="C102" i="10"/>
  <c r="B102" i="10"/>
  <c r="A102" i="10"/>
  <c r="C101" i="10"/>
  <c r="B101" i="10"/>
  <c r="A101" i="10"/>
  <c r="C100" i="10"/>
  <c r="B100" i="10"/>
  <c r="A100" i="10"/>
  <c r="C99" i="10"/>
  <c r="B99" i="10"/>
  <c r="A99" i="10"/>
  <c r="C98" i="10"/>
  <c r="B98" i="10"/>
  <c r="A98" i="10"/>
  <c r="C97" i="10"/>
  <c r="B97" i="10"/>
  <c r="A97" i="10"/>
  <c r="C96" i="10"/>
  <c r="B96" i="10"/>
  <c r="A96" i="10"/>
  <c r="C95" i="10"/>
  <c r="B95" i="10"/>
  <c r="A95" i="10"/>
  <c r="C94" i="10"/>
  <c r="B94" i="10"/>
  <c r="A94" i="10"/>
  <c r="C93" i="10"/>
  <c r="B93" i="10"/>
  <c r="A93" i="10"/>
  <c r="C92" i="10"/>
  <c r="B92" i="10"/>
  <c r="A92" i="10"/>
  <c r="C91" i="10"/>
  <c r="B91" i="10"/>
  <c r="A91" i="10"/>
  <c r="C90" i="10"/>
  <c r="B90" i="10"/>
  <c r="A90" i="10"/>
  <c r="C89" i="10"/>
  <c r="B89" i="10"/>
  <c r="A89" i="10"/>
  <c r="C88" i="10"/>
  <c r="B88" i="10"/>
  <c r="A88" i="10"/>
  <c r="C87" i="10"/>
  <c r="B87" i="10"/>
  <c r="A87" i="10"/>
  <c r="C86" i="10"/>
  <c r="B86" i="10"/>
  <c r="A86" i="10"/>
  <c r="C85" i="10"/>
  <c r="B85" i="10"/>
  <c r="A85" i="10"/>
  <c r="C84" i="10"/>
  <c r="B84" i="10"/>
  <c r="A84" i="10"/>
  <c r="C83" i="10"/>
  <c r="B83" i="10"/>
  <c r="A83" i="10"/>
  <c r="C82" i="10"/>
  <c r="B82" i="10"/>
  <c r="A82" i="10"/>
  <c r="C81" i="10"/>
  <c r="B81" i="10"/>
  <c r="A81" i="10"/>
  <c r="C75" i="10"/>
  <c r="B75" i="10"/>
  <c r="A75" i="10"/>
  <c r="C74" i="10"/>
  <c r="B74" i="10"/>
  <c r="A74" i="10"/>
  <c r="C73" i="10"/>
  <c r="B73" i="10"/>
  <c r="A73" i="10"/>
  <c r="C72" i="10"/>
  <c r="B72" i="10"/>
  <c r="A72" i="10"/>
  <c r="C71" i="10"/>
  <c r="B71" i="10"/>
  <c r="A71" i="10"/>
  <c r="C70" i="10"/>
  <c r="B70" i="10"/>
  <c r="A70" i="10"/>
  <c r="C69" i="10"/>
  <c r="B69" i="10"/>
  <c r="A69" i="10"/>
  <c r="C68" i="10"/>
  <c r="B68" i="10"/>
  <c r="A68" i="10"/>
  <c r="C67" i="10"/>
  <c r="B67" i="10"/>
  <c r="A67" i="10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38" i="10"/>
  <c r="B38" i="10"/>
  <c r="A38" i="10"/>
  <c r="C37" i="10"/>
  <c r="B37" i="10"/>
  <c r="A37" i="10"/>
  <c r="C36" i="10"/>
  <c r="B36" i="10"/>
  <c r="A36" i="10"/>
  <c r="C35" i="10"/>
  <c r="B35" i="10"/>
  <c r="A35" i="10"/>
  <c r="C34" i="10"/>
  <c r="B34" i="10"/>
  <c r="A34" i="10"/>
  <c r="C33" i="10"/>
  <c r="B33" i="10"/>
  <c r="A33" i="10"/>
  <c r="C32" i="10"/>
  <c r="B32" i="10"/>
  <c r="A32" i="10"/>
  <c r="C31" i="10"/>
  <c r="B31" i="10"/>
  <c r="A31" i="10"/>
  <c r="C30" i="10"/>
  <c r="B30" i="10"/>
  <c r="A30" i="10"/>
  <c r="C29" i="10"/>
  <c r="B29" i="10"/>
  <c r="A29" i="10"/>
  <c r="C28" i="10"/>
  <c r="B28" i="10"/>
  <c r="A28" i="10"/>
  <c r="C27" i="10"/>
  <c r="B27" i="10"/>
  <c r="A27" i="10"/>
  <c r="C26" i="10"/>
  <c r="B26" i="10"/>
  <c r="A26" i="10"/>
  <c r="C25" i="10"/>
  <c r="B25" i="10"/>
  <c r="A25" i="10"/>
  <c r="C24" i="10"/>
  <c r="B24" i="10"/>
  <c r="A24" i="10"/>
  <c r="C23" i="10"/>
  <c r="B23" i="10"/>
  <c r="A23" i="10"/>
  <c r="C22" i="10"/>
  <c r="B22" i="10"/>
  <c r="A22" i="10"/>
  <c r="C21" i="10"/>
  <c r="B21" i="10"/>
  <c r="A21" i="10"/>
  <c r="C20" i="10"/>
  <c r="B20" i="10"/>
  <c r="A20" i="10"/>
  <c r="C19" i="10"/>
  <c r="B19" i="10"/>
  <c r="A19" i="10"/>
  <c r="C18" i="10"/>
  <c r="B18" i="10"/>
  <c r="A18" i="10"/>
  <c r="C17" i="10"/>
  <c r="B17" i="10"/>
  <c r="A17" i="10"/>
  <c r="C16" i="10"/>
  <c r="B16" i="10"/>
  <c r="A16" i="10"/>
  <c r="C15" i="10"/>
  <c r="B15" i="10"/>
  <c r="A15" i="10"/>
  <c r="C14" i="10"/>
  <c r="B14" i="10"/>
  <c r="A14" i="10"/>
  <c r="C13" i="10"/>
  <c r="B13" i="10"/>
  <c r="A13" i="10"/>
  <c r="C12" i="10"/>
  <c r="B12" i="10"/>
  <c r="A12" i="10"/>
  <c r="C11" i="10"/>
  <c r="B11" i="10"/>
  <c r="A11" i="10"/>
  <c r="C10" i="10"/>
  <c r="B10" i="10"/>
  <c r="A10" i="10"/>
  <c r="C9" i="10"/>
  <c r="B9" i="10"/>
  <c r="A9" i="10"/>
  <c r="C8" i="10"/>
  <c r="B8" i="10"/>
  <c r="A8" i="10"/>
  <c r="C7" i="10"/>
  <c r="B7" i="10"/>
  <c r="A7" i="10"/>
  <c r="AK38" i="9"/>
  <c r="AJ38" i="9"/>
  <c r="AI38" i="9"/>
  <c r="AG38" i="9"/>
  <c r="G38" i="9"/>
  <c r="AK37" i="9"/>
  <c r="AJ37" i="9"/>
  <c r="AI37" i="9"/>
  <c r="AG37" i="9"/>
  <c r="G37" i="9"/>
  <c r="AK36" i="9"/>
  <c r="AJ36" i="9"/>
  <c r="AI36" i="9"/>
  <c r="AG36" i="9"/>
  <c r="G36" i="9"/>
  <c r="B46" i="12" s="1"/>
  <c r="AK35" i="9"/>
  <c r="AJ35" i="9"/>
  <c r="AI35" i="9"/>
  <c r="AG35" i="9"/>
  <c r="G35" i="9"/>
  <c r="AK34" i="9"/>
  <c r="AJ34" i="9"/>
  <c r="AL34" i="9" s="1"/>
  <c r="AU34" i="9" s="1"/>
  <c r="AI34" i="9"/>
  <c r="AG34" i="9"/>
  <c r="G34" i="9"/>
  <c r="B44" i="12" s="1"/>
  <c r="AK33" i="9"/>
  <c r="AJ33" i="9"/>
  <c r="AL33" i="9" s="1"/>
  <c r="AI33" i="9"/>
  <c r="AG33" i="9"/>
  <c r="G33" i="9"/>
  <c r="AK32" i="9"/>
  <c r="AJ32" i="9"/>
  <c r="AI32" i="9"/>
  <c r="AL32" i="9" s="1"/>
  <c r="AG32" i="9"/>
  <c r="G32" i="9"/>
  <c r="AL31" i="9"/>
  <c r="AK31" i="9"/>
  <c r="AJ31" i="9"/>
  <c r="AI31" i="9"/>
  <c r="AG31" i="9"/>
  <c r="G31" i="9"/>
  <c r="AK30" i="9"/>
  <c r="AJ30" i="9"/>
  <c r="AI30" i="9"/>
  <c r="AG30" i="9"/>
  <c r="AK29" i="9"/>
  <c r="AJ29" i="9"/>
  <c r="AI29" i="9"/>
  <c r="AG29" i="9"/>
  <c r="G29" i="9"/>
  <c r="AK28" i="9"/>
  <c r="AJ28" i="9"/>
  <c r="AI28" i="9"/>
  <c r="AG28" i="9"/>
  <c r="G28" i="9"/>
  <c r="B38" i="12" s="1"/>
  <c r="AK27" i="9"/>
  <c r="AJ27" i="9"/>
  <c r="AI27" i="9"/>
  <c r="AG27" i="9"/>
  <c r="G27" i="9"/>
  <c r="AK26" i="9"/>
  <c r="AJ26" i="9"/>
  <c r="AI26" i="9"/>
  <c r="AG26" i="9"/>
  <c r="G26" i="9"/>
  <c r="B36" i="12" s="1"/>
  <c r="AK25" i="9"/>
  <c r="AJ25" i="9"/>
  <c r="AI25" i="9"/>
  <c r="AG25" i="9"/>
  <c r="G25" i="9"/>
  <c r="AK24" i="9"/>
  <c r="AJ24" i="9"/>
  <c r="AI24" i="9"/>
  <c r="AL24" i="9" s="1"/>
  <c r="AU24" i="9" s="1"/>
  <c r="AG24" i="9"/>
  <c r="G24" i="9"/>
  <c r="AK23" i="9"/>
  <c r="AJ23" i="9"/>
  <c r="AI23" i="9"/>
  <c r="AL23" i="9" s="1"/>
  <c r="AG23" i="9"/>
  <c r="G23" i="9"/>
  <c r="AK22" i="9"/>
  <c r="AJ22" i="9"/>
  <c r="AI22" i="9"/>
  <c r="AG22" i="9"/>
  <c r="G22" i="9"/>
  <c r="AK21" i="9"/>
  <c r="AJ21" i="9"/>
  <c r="AL21" i="9" s="1"/>
  <c r="AI21" i="9"/>
  <c r="AG21" i="9"/>
  <c r="G21" i="9"/>
  <c r="AK20" i="9"/>
  <c r="AJ20" i="9"/>
  <c r="AI20" i="9"/>
  <c r="AL20" i="9" s="1"/>
  <c r="AG20" i="9"/>
  <c r="G20" i="9"/>
  <c r="AK19" i="9"/>
  <c r="AJ19" i="9"/>
  <c r="AI19" i="9"/>
  <c r="AG19" i="9"/>
  <c r="G19" i="9"/>
  <c r="AK18" i="9"/>
  <c r="AJ18" i="9"/>
  <c r="AI18" i="9"/>
  <c r="AG18" i="9"/>
  <c r="G18" i="9"/>
  <c r="B28" i="12" s="1"/>
  <c r="AK17" i="9"/>
  <c r="AJ17" i="9"/>
  <c r="AI17" i="9"/>
  <c r="AG17" i="9"/>
  <c r="G17" i="9"/>
  <c r="AK16" i="9"/>
  <c r="AJ16" i="9"/>
  <c r="AI16" i="9"/>
  <c r="AG16" i="9"/>
  <c r="G16" i="9"/>
  <c r="AK15" i="9"/>
  <c r="AJ15" i="9"/>
  <c r="AI15" i="9"/>
  <c r="AG15" i="9"/>
  <c r="G15" i="9"/>
  <c r="AK14" i="9"/>
  <c r="AJ14" i="9"/>
  <c r="AI14" i="9"/>
  <c r="AG14" i="9"/>
  <c r="G14" i="9"/>
  <c r="AK13" i="9"/>
  <c r="AJ13" i="9"/>
  <c r="AI13" i="9"/>
  <c r="AG13" i="9"/>
  <c r="AL13" i="9" s="1"/>
  <c r="AP13" i="9" s="1"/>
  <c r="G13" i="9"/>
  <c r="AL12" i="9"/>
  <c r="AT12" i="9" s="1"/>
  <c r="AK12" i="9"/>
  <c r="AJ12" i="9"/>
  <c r="AI12" i="9"/>
  <c r="AG12" i="9"/>
  <c r="G12" i="9"/>
  <c r="AK11" i="9"/>
  <c r="AJ11" i="9"/>
  <c r="AI11" i="9"/>
  <c r="AG11" i="9"/>
  <c r="AL11" i="9" s="1"/>
  <c r="G11" i="9"/>
  <c r="AK10" i="9"/>
  <c r="AJ10" i="9"/>
  <c r="AI10" i="9"/>
  <c r="AG10" i="9"/>
  <c r="AL10" i="9" s="1"/>
  <c r="AO10" i="9" s="1"/>
  <c r="G10" i="9"/>
  <c r="AL9" i="9"/>
  <c r="AP9" i="9" s="1"/>
  <c r="AK9" i="9"/>
  <c r="AJ9" i="9"/>
  <c r="AI9" i="9"/>
  <c r="AG9" i="9"/>
  <c r="G9" i="9"/>
  <c r="AK8" i="9"/>
  <c r="AJ8" i="9"/>
  <c r="AI8" i="9"/>
  <c r="AG8" i="9"/>
  <c r="AL8" i="9" s="1"/>
  <c r="G8" i="9"/>
  <c r="AK7" i="9"/>
  <c r="AJ7" i="9"/>
  <c r="AI7" i="9"/>
  <c r="AG7" i="9"/>
  <c r="AL7" i="9" s="1"/>
  <c r="AU7" i="9" s="1"/>
  <c r="G7" i="9"/>
  <c r="N29" i="8"/>
  <c r="L29" i="8"/>
  <c r="K29" i="8"/>
  <c r="I29" i="8" s="1"/>
  <c r="J29" i="8" s="1"/>
  <c r="K28" i="8"/>
  <c r="I28" i="8" s="1"/>
  <c r="J28" i="8" s="1"/>
  <c r="N28" i="8" s="1"/>
  <c r="N27" i="8"/>
  <c r="L27" i="8"/>
  <c r="K27" i="8"/>
  <c r="I27" i="8" s="1"/>
  <c r="J27" i="8" s="1"/>
  <c r="L26" i="8"/>
  <c r="K26" i="8"/>
  <c r="I26" i="8" s="1"/>
  <c r="J26" i="8" s="1"/>
  <c r="N26" i="8" s="1"/>
  <c r="L25" i="8"/>
  <c r="K25" i="8"/>
  <c r="I25" i="8" s="1"/>
  <c r="J25" i="8" s="1"/>
  <c r="N24" i="8"/>
  <c r="L24" i="8"/>
  <c r="K24" i="8"/>
  <c r="I24" i="8" s="1"/>
  <c r="J24" i="8" s="1"/>
  <c r="N23" i="8"/>
  <c r="L23" i="8"/>
  <c r="K23" i="8"/>
  <c r="I23" i="8" s="1"/>
  <c r="J23" i="8" s="1"/>
  <c r="N22" i="8"/>
  <c r="L22" i="8"/>
  <c r="K22" i="8"/>
  <c r="I22" i="8" s="1"/>
  <c r="J22" i="8" s="1"/>
  <c r="N21" i="8"/>
  <c r="L21" i="8"/>
  <c r="K21" i="8"/>
  <c r="I21" i="8" s="1"/>
  <c r="J21" i="8" s="1"/>
  <c r="N20" i="8"/>
  <c r="L20" i="8"/>
  <c r="K20" i="8"/>
  <c r="I20" i="8" s="1"/>
  <c r="J20" i="8" s="1"/>
  <c r="N19" i="8"/>
  <c r="L19" i="8"/>
  <c r="K19" i="8"/>
  <c r="I19" i="8" s="1"/>
  <c r="J19" i="8" s="1"/>
  <c r="N18" i="8"/>
  <c r="L18" i="8"/>
  <c r="K18" i="8"/>
  <c r="I18" i="8" s="1"/>
  <c r="J18" i="8" s="1"/>
  <c r="N17" i="8"/>
  <c r="L17" i="8"/>
  <c r="K17" i="8"/>
  <c r="I17" i="8" s="1"/>
  <c r="J17" i="8" s="1"/>
  <c r="N16" i="8"/>
  <c r="L16" i="8"/>
  <c r="K16" i="8"/>
  <c r="I16" i="8" s="1"/>
  <c r="J16" i="8" s="1"/>
  <c r="L15" i="8"/>
  <c r="K15" i="8"/>
  <c r="I15" i="8" s="1"/>
  <c r="J15" i="8" s="1"/>
  <c r="N15" i="8" s="1"/>
  <c r="N14" i="8"/>
  <c r="L14" i="8"/>
  <c r="K14" i="8"/>
  <c r="I14" i="8" s="1"/>
  <c r="J14" i="8" s="1"/>
  <c r="N13" i="8"/>
  <c r="L13" i="8"/>
  <c r="K13" i="8"/>
  <c r="I13" i="8" s="1"/>
  <c r="J13" i="8" s="1"/>
  <c r="L12" i="8"/>
  <c r="K12" i="8"/>
  <c r="I12" i="8" s="1"/>
  <c r="J12" i="8" s="1"/>
  <c r="N11" i="8"/>
  <c r="L11" i="8"/>
  <c r="K11" i="8"/>
  <c r="I11" i="8" s="1"/>
  <c r="J11" i="8" s="1"/>
  <c r="N10" i="8"/>
  <c r="L10" i="8"/>
  <c r="K10" i="8"/>
  <c r="I10" i="8" s="1"/>
  <c r="J10" i="8" s="1"/>
  <c r="N9" i="8"/>
  <c r="L9" i="8"/>
  <c r="K9" i="8"/>
  <c r="I9" i="8" s="1"/>
  <c r="J9" i="8" s="1"/>
  <c r="N8" i="8"/>
  <c r="L8" i="8"/>
  <c r="K8" i="8"/>
  <c r="I8" i="8" s="1"/>
  <c r="J8" i="8" s="1"/>
  <c r="N7" i="8"/>
  <c r="L7" i="8"/>
  <c r="K7" i="8"/>
  <c r="I7" i="8" s="1"/>
  <c r="J7" i="8" s="1"/>
  <c r="N163" i="7"/>
  <c r="M163" i="7"/>
  <c r="K163" i="7"/>
  <c r="L163" i="7" s="1"/>
  <c r="H163" i="7"/>
  <c r="N162" i="7"/>
  <c r="M162" i="7"/>
  <c r="K162" i="7" s="1"/>
  <c r="L162" i="7" s="1"/>
  <c r="H162" i="7"/>
  <c r="N161" i="7"/>
  <c r="M161" i="7"/>
  <c r="K161" i="7" s="1"/>
  <c r="L161" i="7" s="1"/>
  <c r="H161" i="7"/>
  <c r="N160" i="7"/>
  <c r="M160" i="7"/>
  <c r="K160" i="7"/>
  <c r="L160" i="7" s="1"/>
  <c r="H160" i="7"/>
  <c r="N159" i="7"/>
  <c r="M159" i="7"/>
  <c r="K159" i="7" s="1"/>
  <c r="L159" i="7" s="1"/>
  <c r="H159" i="7"/>
  <c r="N158" i="7"/>
  <c r="M158" i="7"/>
  <c r="K158" i="7" s="1"/>
  <c r="L158" i="7" s="1"/>
  <c r="H158" i="7"/>
  <c r="N157" i="7"/>
  <c r="M157" i="7"/>
  <c r="K157" i="7" s="1"/>
  <c r="L157" i="7" s="1"/>
  <c r="H157" i="7"/>
  <c r="N156" i="7"/>
  <c r="M156" i="7"/>
  <c r="K156" i="7" s="1"/>
  <c r="L156" i="7" s="1"/>
  <c r="H156" i="7"/>
  <c r="N155" i="7"/>
  <c r="M155" i="7"/>
  <c r="K155" i="7"/>
  <c r="L155" i="7" s="1"/>
  <c r="H155" i="7"/>
  <c r="N154" i="7"/>
  <c r="M154" i="7"/>
  <c r="K154" i="7"/>
  <c r="L154" i="7" s="1"/>
  <c r="H154" i="7"/>
  <c r="N153" i="7"/>
  <c r="M153" i="7"/>
  <c r="K153" i="7" s="1"/>
  <c r="L153" i="7" s="1"/>
  <c r="H153" i="7"/>
  <c r="N152" i="7"/>
  <c r="M152" i="7"/>
  <c r="K152" i="7"/>
  <c r="L152" i="7" s="1"/>
  <c r="H152" i="7"/>
  <c r="N151" i="7"/>
  <c r="M151" i="7"/>
  <c r="K151" i="7"/>
  <c r="L151" i="7" s="1"/>
  <c r="H151" i="7"/>
  <c r="N150" i="7"/>
  <c r="M150" i="7"/>
  <c r="K150" i="7" s="1"/>
  <c r="L150" i="7" s="1"/>
  <c r="H150" i="7"/>
  <c r="N149" i="7"/>
  <c r="M149" i="7"/>
  <c r="K149" i="7" s="1"/>
  <c r="L149" i="7" s="1"/>
  <c r="H149" i="7"/>
  <c r="N148" i="7"/>
  <c r="M148" i="7"/>
  <c r="K148" i="7" s="1"/>
  <c r="L148" i="7" s="1"/>
  <c r="H148" i="7"/>
  <c r="N147" i="7"/>
  <c r="M147" i="7"/>
  <c r="K147" i="7"/>
  <c r="L147" i="7" s="1"/>
  <c r="H147" i="7"/>
  <c r="N146" i="7"/>
  <c r="M146" i="7"/>
  <c r="K146" i="7" s="1"/>
  <c r="L146" i="7" s="1"/>
  <c r="H146" i="7"/>
  <c r="N145" i="7"/>
  <c r="M145" i="7"/>
  <c r="K145" i="7" s="1"/>
  <c r="L145" i="7" s="1"/>
  <c r="H145" i="7"/>
  <c r="N144" i="7"/>
  <c r="M144" i="7"/>
  <c r="K144" i="7"/>
  <c r="L144" i="7" s="1"/>
  <c r="H144" i="7"/>
  <c r="N143" i="7"/>
  <c r="M143" i="7"/>
  <c r="K143" i="7"/>
  <c r="L143" i="7" s="1"/>
  <c r="H143" i="7"/>
  <c r="N142" i="7"/>
  <c r="M142" i="7"/>
  <c r="K142" i="7"/>
  <c r="L142" i="7" s="1"/>
  <c r="H142" i="7"/>
  <c r="N141" i="7"/>
  <c r="M141" i="7"/>
  <c r="K141" i="7" s="1"/>
  <c r="L141" i="7" s="1"/>
  <c r="H141" i="7"/>
  <c r="N140" i="7"/>
  <c r="M140" i="7"/>
  <c r="K140" i="7" s="1"/>
  <c r="L140" i="7" s="1"/>
  <c r="H140" i="7"/>
  <c r="N139" i="7"/>
  <c r="M139" i="7"/>
  <c r="K139" i="7"/>
  <c r="L139" i="7" s="1"/>
  <c r="H139" i="7"/>
  <c r="N138" i="7"/>
  <c r="M138" i="7"/>
  <c r="K138" i="7"/>
  <c r="L138" i="7" s="1"/>
  <c r="H138" i="7"/>
  <c r="N137" i="7"/>
  <c r="M137" i="7"/>
  <c r="K137" i="7" s="1"/>
  <c r="L137" i="7" s="1"/>
  <c r="H137" i="7"/>
  <c r="N136" i="7"/>
  <c r="M136" i="7"/>
  <c r="K136" i="7"/>
  <c r="L136" i="7" s="1"/>
  <c r="H136" i="7"/>
  <c r="N135" i="7"/>
  <c r="M135" i="7"/>
  <c r="K135" i="7"/>
  <c r="L135" i="7" s="1"/>
  <c r="H135" i="7"/>
  <c r="N134" i="7"/>
  <c r="M134" i="7"/>
  <c r="K134" i="7" s="1"/>
  <c r="L134" i="7" s="1"/>
  <c r="H134" i="7"/>
  <c r="N133" i="7"/>
  <c r="M133" i="7"/>
  <c r="K133" i="7" s="1"/>
  <c r="L133" i="7" s="1"/>
  <c r="H133" i="7"/>
  <c r="N132" i="7"/>
  <c r="M132" i="7"/>
  <c r="K132" i="7" s="1"/>
  <c r="L132" i="7" s="1"/>
  <c r="H132" i="7"/>
  <c r="N131" i="7"/>
  <c r="M131" i="7"/>
  <c r="K131" i="7"/>
  <c r="L131" i="7" s="1"/>
  <c r="H131" i="7"/>
  <c r="N130" i="7"/>
  <c r="M130" i="7"/>
  <c r="K130" i="7" s="1"/>
  <c r="L130" i="7" s="1"/>
  <c r="H130" i="7"/>
  <c r="N129" i="7"/>
  <c r="M129" i="7"/>
  <c r="K129" i="7" s="1"/>
  <c r="L129" i="7" s="1"/>
  <c r="H129" i="7"/>
  <c r="N128" i="7"/>
  <c r="M128" i="7"/>
  <c r="K128" i="7"/>
  <c r="L128" i="7" s="1"/>
  <c r="H128" i="7"/>
  <c r="N127" i="7"/>
  <c r="M127" i="7"/>
  <c r="K127" i="7"/>
  <c r="L127" i="7" s="1"/>
  <c r="H127" i="7"/>
  <c r="N126" i="7"/>
  <c r="M126" i="7"/>
  <c r="K126" i="7"/>
  <c r="L126" i="7" s="1"/>
  <c r="H126" i="7"/>
  <c r="N125" i="7"/>
  <c r="M125" i="7"/>
  <c r="K125" i="7" s="1"/>
  <c r="L125" i="7" s="1"/>
  <c r="H125" i="7"/>
  <c r="N124" i="7"/>
  <c r="M124" i="7"/>
  <c r="K124" i="7" s="1"/>
  <c r="L124" i="7" s="1"/>
  <c r="H124" i="7"/>
  <c r="N123" i="7"/>
  <c r="M123" i="7"/>
  <c r="K123" i="7"/>
  <c r="L123" i="7" s="1"/>
  <c r="H123" i="7"/>
  <c r="N122" i="7"/>
  <c r="M122" i="7"/>
  <c r="K122" i="7"/>
  <c r="L122" i="7" s="1"/>
  <c r="H122" i="7"/>
  <c r="N121" i="7"/>
  <c r="M121" i="7"/>
  <c r="K121" i="7" s="1"/>
  <c r="L121" i="7" s="1"/>
  <c r="H121" i="7"/>
  <c r="N120" i="7"/>
  <c r="M120" i="7"/>
  <c r="K120" i="7"/>
  <c r="L120" i="7" s="1"/>
  <c r="H120" i="7"/>
  <c r="N119" i="7"/>
  <c r="M119" i="7"/>
  <c r="K119" i="7"/>
  <c r="L119" i="7" s="1"/>
  <c r="H119" i="7"/>
  <c r="N118" i="7"/>
  <c r="M118" i="7"/>
  <c r="K118" i="7" s="1"/>
  <c r="L118" i="7" s="1"/>
  <c r="H118" i="7"/>
  <c r="N117" i="7"/>
  <c r="M117" i="7"/>
  <c r="K117" i="7" s="1"/>
  <c r="L117" i="7" s="1"/>
  <c r="H117" i="7"/>
  <c r="N116" i="7"/>
  <c r="M116" i="7"/>
  <c r="K116" i="7" s="1"/>
  <c r="L116" i="7" s="1"/>
  <c r="H116" i="7"/>
  <c r="N115" i="7"/>
  <c r="M115" i="7"/>
  <c r="K115" i="7"/>
  <c r="L115" i="7" s="1"/>
  <c r="H115" i="7"/>
  <c r="N114" i="7"/>
  <c r="M114" i="7"/>
  <c r="K114" i="7"/>
  <c r="L114" i="7" s="1"/>
  <c r="H114" i="7"/>
  <c r="N113" i="7"/>
  <c r="M113" i="7"/>
  <c r="K113" i="7" s="1"/>
  <c r="L113" i="7" s="1"/>
  <c r="H113" i="7"/>
  <c r="N112" i="7"/>
  <c r="M112" i="7"/>
  <c r="K112" i="7"/>
  <c r="L112" i="7" s="1"/>
  <c r="H112" i="7"/>
  <c r="N111" i="7"/>
  <c r="M111" i="7"/>
  <c r="K111" i="7"/>
  <c r="L111" i="7" s="1"/>
  <c r="H111" i="7"/>
  <c r="N110" i="7"/>
  <c r="M110" i="7"/>
  <c r="K110" i="7"/>
  <c r="L110" i="7" s="1"/>
  <c r="H110" i="7"/>
  <c r="N109" i="7"/>
  <c r="M109" i="7"/>
  <c r="K109" i="7" s="1"/>
  <c r="L109" i="7" s="1"/>
  <c r="H109" i="7"/>
  <c r="N108" i="7"/>
  <c r="M108" i="7"/>
  <c r="K108" i="7" s="1"/>
  <c r="L108" i="7" s="1"/>
  <c r="H108" i="7"/>
  <c r="N107" i="7"/>
  <c r="M107" i="7"/>
  <c r="K107" i="7"/>
  <c r="L107" i="7" s="1"/>
  <c r="H107" i="7"/>
  <c r="N106" i="7"/>
  <c r="M106" i="7"/>
  <c r="K106" i="7"/>
  <c r="L106" i="7" s="1"/>
  <c r="H106" i="7"/>
  <c r="N105" i="7"/>
  <c r="M105" i="7"/>
  <c r="K105" i="7" s="1"/>
  <c r="L105" i="7" s="1"/>
  <c r="H105" i="7"/>
  <c r="N104" i="7"/>
  <c r="M104" i="7"/>
  <c r="K104" i="7"/>
  <c r="L104" i="7" s="1"/>
  <c r="H104" i="7"/>
  <c r="N103" i="7"/>
  <c r="M103" i="7"/>
  <c r="K103" i="7"/>
  <c r="L103" i="7" s="1"/>
  <c r="H103" i="7"/>
  <c r="N102" i="7"/>
  <c r="M102" i="7"/>
  <c r="K102" i="7" s="1"/>
  <c r="L102" i="7" s="1"/>
  <c r="H102" i="7"/>
  <c r="N101" i="7"/>
  <c r="M101" i="7"/>
  <c r="K101" i="7" s="1"/>
  <c r="L101" i="7" s="1"/>
  <c r="H101" i="7"/>
  <c r="N100" i="7"/>
  <c r="M100" i="7"/>
  <c r="K100" i="7" s="1"/>
  <c r="L100" i="7" s="1"/>
  <c r="H100" i="7"/>
  <c r="N99" i="7"/>
  <c r="M99" i="7"/>
  <c r="K99" i="7"/>
  <c r="L99" i="7" s="1"/>
  <c r="H99" i="7"/>
  <c r="N98" i="7"/>
  <c r="M98" i="7"/>
  <c r="K98" i="7" s="1"/>
  <c r="L98" i="7" s="1"/>
  <c r="H98" i="7"/>
  <c r="N97" i="7"/>
  <c r="M97" i="7"/>
  <c r="K97" i="7" s="1"/>
  <c r="L97" i="7" s="1"/>
  <c r="H97" i="7"/>
  <c r="N96" i="7"/>
  <c r="M96" i="7"/>
  <c r="K96" i="7"/>
  <c r="L96" i="7" s="1"/>
  <c r="H96" i="7"/>
  <c r="N95" i="7"/>
  <c r="M95" i="7"/>
  <c r="K95" i="7"/>
  <c r="L95" i="7" s="1"/>
  <c r="H95" i="7"/>
  <c r="N94" i="7"/>
  <c r="M94" i="7"/>
  <c r="K94" i="7"/>
  <c r="L94" i="7" s="1"/>
  <c r="H94" i="7"/>
  <c r="N93" i="7"/>
  <c r="M93" i="7"/>
  <c r="K93" i="7"/>
  <c r="L93" i="7" s="1"/>
  <c r="H93" i="7"/>
  <c r="N92" i="7"/>
  <c r="M92" i="7"/>
  <c r="K92" i="7" s="1"/>
  <c r="L92" i="7" s="1"/>
  <c r="H92" i="7"/>
  <c r="N91" i="7"/>
  <c r="M91" i="7"/>
  <c r="K91" i="7"/>
  <c r="L91" i="7" s="1"/>
  <c r="H91" i="7"/>
  <c r="N90" i="7"/>
  <c r="M90" i="7"/>
  <c r="K90" i="7" s="1"/>
  <c r="L90" i="7" s="1"/>
  <c r="H90" i="7"/>
  <c r="N89" i="7"/>
  <c r="M89" i="7"/>
  <c r="K89" i="7" s="1"/>
  <c r="L89" i="7" s="1"/>
  <c r="H89" i="7"/>
  <c r="N88" i="7"/>
  <c r="M88" i="7"/>
  <c r="K88" i="7"/>
  <c r="L88" i="7" s="1"/>
  <c r="H88" i="7"/>
  <c r="N87" i="7"/>
  <c r="M87" i="7"/>
  <c r="K87" i="7"/>
  <c r="L87" i="7" s="1"/>
  <c r="H87" i="7"/>
  <c r="N86" i="7"/>
  <c r="M86" i="7"/>
  <c r="K86" i="7" s="1"/>
  <c r="L86" i="7" s="1"/>
  <c r="H86" i="7"/>
  <c r="N85" i="7"/>
  <c r="M85" i="7"/>
  <c r="K85" i="7" s="1"/>
  <c r="L85" i="7" s="1"/>
  <c r="H85" i="7"/>
  <c r="N84" i="7"/>
  <c r="M84" i="7"/>
  <c r="K84" i="7" s="1"/>
  <c r="L84" i="7" s="1"/>
  <c r="H84" i="7"/>
  <c r="N83" i="7"/>
  <c r="M83" i="7"/>
  <c r="K83" i="7"/>
  <c r="L83" i="7" s="1"/>
  <c r="H83" i="7"/>
  <c r="N82" i="7"/>
  <c r="M82" i="7"/>
  <c r="K82" i="7" s="1"/>
  <c r="L82" i="7" s="1"/>
  <c r="H82" i="7"/>
  <c r="N81" i="7"/>
  <c r="M81" i="7"/>
  <c r="K81" i="7" s="1"/>
  <c r="L81" i="7" s="1"/>
  <c r="H81" i="7"/>
  <c r="N80" i="7"/>
  <c r="M80" i="7"/>
  <c r="K80" i="7"/>
  <c r="L80" i="7" s="1"/>
  <c r="H80" i="7"/>
  <c r="N79" i="7"/>
  <c r="M79" i="7"/>
  <c r="K79" i="7"/>
  <c r="L79" i="7" s="1"/>
  <c r="H79" i="7"/>
  <c r="N78" i="7"/>
  <c r="M78" i="7"/>
  <c r="K78" i="7"/>
  <c r="L78" i="7" s="1"/>
  <c r="H78" i="7"/>
  <c r="N77" i="7"/>
  <c r="M77" i="7"/>
  <c r="K77" i="7"/>
  <c r="L77" i="7" s="1"/>
  <c r="H77" i="7"/>
  <c r="N76" i="7"/>
  <c r="M76" i="7"/>
  <c r="K76" i="7" s="1"/>
  <c r="L76" i="7" s="1"/>
  <c r="H76" i="7"/>
  <c r="N75" i="7"/>
  <c r="M75" i="7"/>
  <c r="K75" i="7"/>
  <c r="L75" i="7" s="1"/>
  <c r="H75" i="7"/>
  <c r="N74" i="7"/>
  <c r="M74" i="7"/>
  <c r="K74" i="7"/>
  <c r="L74" i="7" s="1"/>
  <c r="H74" i="7"/>
  <c r="N73" i="7"/>
  <c r="M73" i="7"/>
  <c r="K73" i="7" s="1"/>
  <c r="L73" i="7" s="1"/>
  <c r="H73" i="7"/>
  <c r="N72" i="7"/>
  <c r="M72" i="7"/>
  <c r="K72" i="7"/>
  <c r="L72" i="7" s="1"/>
  <c r="H72" i="7"/>
  <c r="N71" i="7"/>
  <c r="M71" i="7"/>
  <c r="K71" i="7"/>
  <c r="L71" i="7" s="1"/>
  <c r="H71" i="7"/>
  <c r="N70" i="7"/>
  <c r="M70" i="7"/>
  <c r="K70" i="7" s="1"/>
  <c r="L70" i="7" s="1"/>
  <c r="H70" i="7"/>
  <c r="N69" i="7"/>
  <c r="M69" i="7"/>
  <c r="K69" i="7" s="1"/>
  <c r="L69" i="7" s="1"/>
  <c r="H69" i="7"/>
  <c r="N68" i="7"/>
  <c r="M68" i="7"/>
  <c r="K68" i="7" s="1"/>
  <c r="L68" i="7" s="1"/>
  <c r="H68" i="7"/>
  <c r="N67" i="7"/>
  <c r="M67" i="7"/>
  <c r="K67" i="7"/>
  <c r="L67" i="7" s="1"/>
  <c r="H67" i="7"/>
  <c r="N66" i="7"/>
  <c r="M66" i="7"/>
  <c r="K66" i="7" s="1"/>
  <c r="L66" i="7" s="1"/>
  <c r="H66" i="7"/>
  <c r="N65" i="7"/>
  <c r="M65" i="7"/>
  <c r="K65" i="7" s="1"/>
  <c r="L65" i="7" s="1"/>
  <c r="H65" i="7"/>
  <c r="N64" i="7"/>
  <c r="M64" i="7"/>
  <c r="K64" i="7"/>
  <c r="L64" i="7" s="1"/>
  <c r="H64" i="7"/>
  <c r="N63" i="7"/>
  <c r="M63" i="7"/>
  <c r="K63" i="7"/>
  <c r="L63" i="7" s="1"/>
  <c r="H63" i="7"/>
  <c r="N62" i="7"/>
  <c r="M62" i="7"/>
  <c r="K62" i="7"/>
  <c r="L62" i="7" s="1"/>
  <c r="H62" i="7"/>
  <c r="N61" i="7"/>
  <c r="M61" i="7"/>
  <c r="K61" i="7"/>
  <c r="L61" i="7" s="1"/>
  <c r="H61" i="7"/>
  <c r="N60" i="7"/>
  <c r="M60" i="7"/>
  <c r="K60" i="7" s="1"/>
  <c r="L60" i="7" s="1"/>
  <c r="H60" i="7"/>
  <c r="N59" i="7"/>
  <c r="M59" i="7"/>
  <c r="K59" i="7"/>
  <c r="L59" i="7" s="1"/>
  <c r="H59" i="7"/>
  <c r="N58" i="7"/>
  <c r="M58" i="7"/>
  <c r="K58" i="7"/>
  <c r="L58" i="7" s="1"/>
  <c r="H58" i="7"/>
  <c r="N57" i="7"/>
  <c r="M57" i="7"/>
  <c r="K57" i="7" s="1"/>
  <c r="L57" i="7" s="1"/>
  <c r="H57" i="7"/>
  <c r="N56" i="7"/>
  <c r="M56" i="7"/>
  <c r="K56" i="7"/>
  <c r="L56" i="7" s="1"/>
  <c r="H56" i="7"/>
  <c r="N55" i="7"/>
  <c r="M55" i="7"/>
  <c r="K55" i="7" s="1"/>
  <c r="L55" i="7" s="1"/>
  <c r="H55" i="7"/>
  <c r="N54" i="7"/>
  <c r="M54" i="7"/>
  <c r="K54" i="7" s="1"/>
  <c r="L54" i="7" s="1"/>
  <c r="H54" i="7"/>
  <c r="N53" i="7"/>
  <c r="M53" i="7"/>
  <c r="K53" i="7" s="1"/>
  <c r="L53" i="7" s="1"/>
  <c r="H53" i="7"/>
  <c r="N52" i="7"/>
  <c r="M52" i="7"/>
  <c r="K52" i="7" s="1"/>
  <c r="L52" i="7" s="1"/>
  <c r="H52" i="7"/>
  <c r="N51" i="7"/>
  <c r="M51" i="7"/>
  <c r="K51" i="7"/>
  <c r="L51" i="7" s="1"/>
  <c r="H51" i="7"/>
  <c r="N50" i="7"/>
  <c r="M50" i="7"/>
  <c r="K50" i="7"/>
  <c r="L50" i="7" s="1"/>
  <c r="H50" i="7"/>
  <c r="N49" i="7"/>
  <c r="M49" i="7"/>
  <c r="K49" i="7" s="1"/>
  <c r="L49" i="7" s="1"/>
  <c r="H49" i="7"/>
  <c r="N48" i="7"/>
  <c r="M48" i="7"/>
  <c r="K48" i="7"/>
  <c r="L48" i="7" s="1"/>
  <c r="H48" i="7"/>
  <c r="N47" i="7"/>
  <c r="M47" i="7"/>
  <c r="K47" i="7"/>
  <c r="L47" i="7" s="1"/>
  <c r="H47" i="7"/>
  <c r="N46" i="7"/>
  <c r="M46" i="7"/>
  <c r="K46" i="7"/>
  <c r="L46" i="7" s="1"/>
  <c r="H46" i="7"/>
  <c r="N45" i="7"/>
  <c r="M45" i="7"/>
  <c r="K45" i="7"/>
  <c r="L45" i="7" s="1"/>
  <c r="H45" i="7"/>
  <c r="N44" i="7"/>
  <c r="M44" i="7"/>
  <c r="K44" i="7" s="1"/>
  <c r="L44" i="7" s="1"/>
  <c r="H44" i="7"/>
  <c r="N43" i="7"/>
  <c r="M43" i="7"/>
  <c r="K43" i="7"/>
  <c r="L43" i="7" s="1"/>
  <c r="H43" i="7"/>
  <c r="N42" i="7"/>
  <c r="M42" i="7"/>
  <c r="K42" i="7" s="1"/>
  <c r="L42" i="7" s="1"/>
  <c r="H42" i="7"/>
  <c r="N41" i="7"/>
  <c r="M41" i="7"/>
  <c r="K41" i="7" s="1"/>
  <c r="L41" i="7" s="1"/>
  <c r="H41" i="7"/>
  <c r="N40" i="7"/>
  <c r="M40" i="7"/>
  <c r="K40" i="7"/>
  <c r="L40" i="7" s="1"/>
  <c r="H40" i="7"/>
  <c r="N39" i="7"/>
  <c r="M39" i="7"/>
  <c r="K39" i="7" s="1"/>
  <c r="L39" i="7" s="1"/>
  <c r="H39" i="7"/>
  <c r="N38" i="7"/>
  <c r="M38" i="7"/>
  <c r="K38" i="7" s="1"/>
  <c r="L38" i="7" s="1"/>
  <c r="H38" i="7"/>
  <c r="N37" i="7"/>
  <c r="M37" i="7"/>
  <c r="K37" i="7" s="1"/>
  <c r="L37" i="7" s="1"/>
  <c r="H37" i="7"/>
  <c r="N36" i="7"/>
  <c r="M36" i="7"/>
  <c r="K36" i="7"/>
  <c r="L36" i="7" s="1"/>
  <c r="H36" i="7"/>
  <c r="N35" i="7"/>
  <c r="M35" i="7"/>
  <c r="K35" i="7"/>
  <c r="L35" i="7" s="1"/>
  <c r="H35" i="7"/>
  <c r="N34" i="7"/>
  <c r="M34" i="7"/>
  <c r="K34" i="7"/>
  <c r="L34" i="7" s="1"/>
  <c r="H34" i="7"/>
  <c r="N33" i="7"/>
  <c r="M33" i="7"/>
  <c r="K33" i="7" s="1"/>
  <c r="L33" i="7" s="1"/>
  <c r="H33" i="7"/>
  <c r="N32" i="7"/>
  <c r="M32" i="7"/>
  <c r="K32" i="7"/>
  <c r="L32" i="7" s="1"/>
  <c r="H32" i="7"/>
  <c r="N31" i="7"/>
  <c r="M31" i="7"/>
  <c r="K31" i="7"/>
  <c r="L31" i="7" s="1"/>
  <c r="H31" i="7"/>
  <c r="N30" i="7"/>
  <c r="M30" i="7"/>
  <c r="K30" i="7"/>
  <c r="L30" i="7" s="1"/>
  <c r="H30" i="7"/>
  <c r="N29" i="7"/>
  <c r="M29" i="7"/>
  <c r="K29" i="7"/>
  <c r="L29" i="7" s="1"/>
  <c r="H29" i="7"/>
  <c r="N28" i="7"/>
  <c r="M28" i="7"/>
  <c r="K28" i="7" s="1"/>
  <c r="L28" i="7" s="1"/>
  <c r="H28" i="7"/>
  <c r="N27" i="7"/>
  <c r="M27" i="7"/>
  <c r="K27" i="7"/>
  <c r="L27" i="7" s="1"/>
  <c r="H27" i="7"/>
  <c r="N26" i="7"/>
  <c r="M26" i="7"/>
  <c r="K26" i="7" s="1"/>
  <c r="L26" i="7" s="1"/>
  <c r="H26" i="7"/>
  <c r="N25" i="7"/>
  <c r="M25" i="7"/>
  <c r="K25" i="7" s="1"/>
  <c r="L25" i="7" s="1"/>
  <c r="H25" i="7"/>
  <c r="N24" i="7"/>
  <c r="M24" i="7"/>
  <c r="K24" i="7"/>
  <c r="L24" i="7" s="1"/>
  <c r="H24" i="7"/>
  <c r="N23" i="7"/>
  <c r="M23" i="7"/>
  <c r="K23" i="7" s="1"/>
  <c r="L23" i="7" s="1"/>
  <c r="H23" i="7"/>
  <c r="N22" i="7"/>
  <c r="M22" i="7"/>
  <c r="K22" i="7" s="1"/>
  <c r="L22" i="7" s="1"/>
  <c r="H22" i="7"/>
  <c r="N21" i="7"/>
  <c r="M21" i="7"/>
  <c r="K21" i="7" s="1"/>
  <c r="L21" i="7" s="1"/>
  <c r="H21" i="7"/>
  <c r="N20" i="7"/>
  <c r="M20" i="7"/>
  <c r="K20" i="7"/>
  <c r="L20" i="7" s="1"/>
  <c r="H20" i="7"/>
  <c r="N19" i="7"/>
  <c r="M19" i="7"/>
  <c r="K19" i="7"/>
  <c r="L19" i="7" s="1"/>
  <c r="H19" i="7"/>
  <c r="N18" i="7"/>
  <c r="M18" i="7"/>
  <c r="K18" i="7"/>
  <c r="L18" i="7" s="1"/>
  <c r="H18" i="7"/>
  <c r="N17" i="7"/>
  <c r="M17" i="7"/>
  <c r="K17" i="7" s="1"/>
  <c r="L17" i="7" s="1"/>
  <c r="H17" i="7"/>
  <c r="N16" i="7"/>
  <c r="M16" i="7"/>
  <c r="K16" i="7"/>
  <c r="L16" i="7" s="1"/>
  <c r="H16" i="7"/>
  <c r="N15" i="7"/>
  <c r="M15" i="7"/>
  <c r="K15" i="7"/>
  <c r="L15" i="7" s="1"/>
  <c r="H15" i="7"/>
  <c r="N14" i="7"/>
  <c r="M14" i="7"/>
  <c r="K14" i="7"/>
  <c r="L14" i="7" s="1"/>
  <c r="H14" i="7"/>
  <c r="N13" i="7"/>
  <c r="M13" i="7"/>
  <c r="K13" i="7"/>
  <c r="L13" i="7" s="1"/>
  <c r="H13" i="7"/>
  <c r="N12" i="7"/>
  <c r="M12" i="7"/>
  <c r="K12" i="7" s="1"/>
  <c r="L12" i="7" s="1"/>
  <c r="H12" i="7"/>
  <c r="N11" i="7"/>
  <c r="M11" i="7"/>
  <c r="K11" i="7"/>
  <c r="L11" i="7" s="1"/>
  <c r="H11" i="7"/>
  <c r="N10" i="7"/>
  <c r="M10" i="7"/>
  <c r="K10" i="7" s="1"/>
  <c r="L10" i="7" s="1"/>
  <c r="H10" i="7"/>
  <c r="N9" i="7"/>
  <c r="M9" i="7"/>
  <c r="K9" i="7" s="1"/>
  <c r="L9" i="7" s="1"/>
  <c r="H9" i="7"/>
  <c r="N8" i="7"/>
  <c r="M8" i="7"/>
  <c r="K8" i="7"/>
  <c r="L8" i="7" s="1"/>
  <c r="H8" i="7"/>
  <c r="N7" i="7"/>
  <c r="F4" i="7" s="1"/>
  <c r="M7" i="7"/>
  <c r="K7" i="7" s="1"/>
  <c r="L7" i="7" s="1"/>
  <c r="H7" i="7"/>
  <c r="M60" i="6"/>
  <c r="L60" i="6"/>
  <c r="M59" i="6"/>
  <c r="L59" i="6"/>
  <c r="M58" i="6"/>
  <c r="L58" i="6"/>
  <c r="M57" i="6"/>
  <c r="L57" i="6"/>
  <c r="M56" i="6"/>
  <c r="L56" i="6"/>
  <c r="M55" i="6"/>
  <c r="L55" i="6"/>
  <c r="M54" i="6"/>
  <c r="L54" i="6"/>
  <c r="M53" i="6"/>
  <c r="L53" i="6"/>
  <c r="M52" i="6"/>
  <c r="L52" i="6"/>
  <c r="M51" i="6"/>
  <c r="L51" i="6"/>
  <c r="M50" i="6"/>
  <c r="L50" i="6"/>
  <c r="M49" i="6"/>
  <c r="L49" i="6"/>
  <c r="M48" i="6"/>
  <c r="L48" i="6"/>
  <c r="M47" i="6"/>
  <c r="L47" i="6"/>
  <c r="M46" i="6"/>
  <c r="L46" i="6"/>
  <c r="M45" i="6"/>
  <c r="L45" i="6"/>
  <c r="M44" i="6"/>
  <c r="L44" i="6"/>
  <c r="M43" i="6"/>
  <c r="L43" i="6"/>
  <c r="M42" i="6"/>
  <c r="L42" i="6"/>
  <c r="M41" i="6"/>
  <c r="L41" i="6"/>
  <c r="M40" i="6"/>
  <c r="L40" i="6"/>
  <c r="M39" i="6"/>
  <c r="L39" i="6"/>
  <c r="M38" i="6"/>
  <c r="L38" i="6"/>
  <c r="M37" i="6"/>
  <c r="L37" i="6"/>
  <c r="M36" i="6"/>
  <c r="L36" i="6"/>
  <c r="M35" i="6"/>
  <c r="L35" i="6"/>
  <c r="M34" i="6"/>
  <c r="L34" i="6"/>
  <c r="M33" i="6"/>
  <c r="L33" i="6"/>
  <c r="M32" i="6"/>
  <c r="L32" i="6"/>
  <c r="M31" i="6"/>
  <c r="L31" i="6"/>
  <c r="M30" i="6"/>
  <c r="L30" i="6"/>
  <c r="M29" i="6"/>
  <c r="L29" i="6"/>
  <c r="M28" i="6"/>
  <c r="L28" i="6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M15" i="6"/>
  <c r="L15" i="6"/>
  <c r="M14" i="6"/>
  <c r="L14" i="6"/>
  <c r="M13" i="6"/>
  <c r="L13" i="6"/>
  <c r="M12" i="6"/>
  <c r="L12" i="6"/>
  <c r="M11" i="6"/>
  <c r="L11" i="6"/>
  <c r="M10" i="6"/>
  <c r="L10" i="6"/>
  <c r="M9" i="6"/>
  <c r="L9" i="6"/>
  <c r="M8" i="6"/>
  <c r="L8" i="6"/>
  <c r="I4" i="6"/>
  <c r="G4" i="6"/>
  <c r="D4" i="6"/>
  <c r="B4" i="6"/>
  <c r="B5" i="6" s="1"/>
  <c r="D5" i="6" s="1"/>
  <c r="C22" i="15" s="1"/>
  <c r="E22" i="15" s="1"/>
  <c r="G22" i="15" s="1"/>
  <c r="M71" i="5"/>
  <c r="L71" i="5"/>
  <c r="M70" i="5"/>
  <c r="L70" i="5"/>
  <c r="M69" i="5"/>
  <c r="L69" i="5"/>
  <c r="M68" i="5"/>
  <c r="L68" i="5"/>
  <c r="M67" i="5"/>
  <c r="L67" i="5"/>
  <c r="M66" i="5"/>
  <c r="L66" i="5"/>
  <c r="M65" i="5"/>
  <c r="L65" i="5"/>
  <c r="M64" i="5"/>
  <c r="L64" i="5"/>
  <c r="M63" i="5"/>
  <c r="L63" i="5"/>
  <c r="M62" i="5"/>
  <c r="L62" i="5"/>
  <c r="M61" i="5"/>
  <c r="L61" i="5"/>
  <c r="M60" i="5"/>
  <c r="L60" i="5"/>
  <c r="M59" i="5"/>
  <c r="L59" i="5"/>
  <c r="M58" i="5"/>
  <c r="L58" i="5"/>
  <c r="M57" i="5"/>
  <c r="L57" i="5"/>
  <c r="M56" i="5"/>
  <c r="L56" i="5"/>
  <c r="M55" i="5"/>
  <c r="L55" i="5"/>
  <c r="M54" i="5"/>
  <c r="L54" i="5"/>
  <c r="M53" i="5"/>
  <c r="L53" i="5"/>
  <c r="M52" i="5"/>
  <c r="L52" i="5"/>
  <c r="M51" i="5"/>
  <c r="L51" i="5"/>
  <c r="M50" i="5"/>
  <c r="L50" i="5"/>
  <c r="M49" i="5"/>
  <c r="L49" i="5"/>
  <c r="M48" i="5"/>
  <c r="L48" i="5"/>
  <c r="M47" i="5"/>
  <c r="L47" i="5"/>
  <c r="M46" i="5"/>
  <c r="L46" i="5"/>
  <c r="M45" i="5"/>
  <c r="L45" i="5"/>
  <c r="M44" i="5"/>
  <c r="L44" i="5"/>
  <c r="M43" i="5"/>
  <c r="L43" i="5"/>
  <c r="M42" i="5"/>
  <c r="L42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I4" i="5"/>
  <c r="B5" i="5" s="1"/>
  <c r="D5" i="5" s="1"/>
  <c r="C21" i="15" s="1"/>
  <c r="E21" i="15" s="1"/>
  <c r="G21" i="15" s="1"/>
  <c r="G4" i="5"/>
  <c r="D4" i="5"/>
  <c r="B4" i="5"/>
  <c r="Q14" i="3"/>
  <c r="O14" i="3"/>
  <c r="N14" i="3"/>
  <c r="M14" i="3"/>
  <c r="I14" i="3"/>
  <c r="Q13" i="3"/>
  <c r="O13" i="3"/>
  <c r="N13" i="3"/>
  <c r="M13" i="3"/>
  <c r="I13" i="3"/>
  <c r="Q12" i="3"/>
  <c r="O12" i="3"/>
  <c r="N12" i="3"/>
  <c r="M12" i="3"/>
  <c r="I12" i="3"/>
  <c r="Q11" i="3"/>
  <c r="O11" i="3"/>
  <c r="N11" i="3"/>
  <c r="M11" i="3"/>
  <c r="B52" i="11" s="1"/>
  <c r="I11" i="3"/>
  <c r="Q10" i="3"/>
  <c r="O10" i="3"/>
  <c r="N10" i="3"/>
  <c r="M10" i="3"/>
  <c r="I10" i="3"/>
  <c r="Q9" i="3"/>
  <c r="O9" i="3"/>
  <c r="N9" i="3"/>
  <c r="M9" i="3"/>
  <c r="I9" i="3"/>
  <c r="Q8" i="3"/>
  <c r="O8" i="3"/>
  <c r="N8" i="3"/>
  <c r="M8" i="3"/>
  <c r="E15" i="11" s="1"/>
  <c r="I8" i="3"/>
  <c r="Q7" i="3"/>
  <c r="O7" i="3"/>
  <c r="N7" i="3"/>
  <c r="M7" i="3"/>
  <c r="I7" i="3"/>
  <c r="Q6" i="3"/>
  <c r="B22" i="3" s="1"/>
  <c r="D22" i="3" s="1"/>
  <c r="E22" i="3" s="1"/>
  <c r="O6" i="3"/>
  <c r="B20" i="3" s="1"/>
  <c r="D20" i="3" s="1"/>
  <c r="E20" i="3" s="1"/>
  <c r="N6" i="3"/>
  <c r="B19" i="3" s="1"/>
  <c r="D19" i="3" s="1"/>
  <c r="E19" i="3" s="1"/>
  <c r="M6" i="3"/>
  <c r="I6" i="3"/>
  <c r="B12" i="2"/>
  <c r="M38" i="9" s="1"/>
  <c r="B8" i="1"/>
  <c r="AL14" i="12" l="1"/>
  <c r="F4" i="8"/>
  <c r="G15" i="11"/>
  <c r="H15" i="11" s="1"/>
  <c r="AK14" i="12"/>
  <c r="AM14" i="12"/>
  <c r="P7" i="3"/>
  <c r="AM7" i="9"/>
  <c r="L8" i="13"/>
  <c r="M7" i="13"/>
  <c r="E8" i="13"/>
  <c r="AU32" i="9"/>
  <c r="AN32" i="9"/>
  <c r="AM32" i="9"/>
  <c r="AP32" i="9"/>
  <c r="AO32" i="9"/>
  <c r="F32" i="10" s="1"/>
  <c r="AT20" i="9"/>
  <c r="K20" i="10" s="1"/>
  <c r="AM20" i="9"/>
  <c r="AR7" i="9"/>
  <c r="AP10" i="9"/>
  <c r="G10" i="10" s="1"/>
  <c r="AR10" i="9"/>
  <c r="AS10" i="9"/>
  <c r="AT10" i="9"/>
  <c r="AU10" i="9"/>
  <c r="L10" i="10" s="1"/>
  <c r="AH24" i="9"/>
  <c r="AH14" i="12"/>
  <c r="D8" i="13"/>
  <c r="B18" i="14" s="1"/>
  <c r="AU9" i="9"/>
  <c r="L9" i="10" s="1"/>
  <c r="F8" i="13"/>
  <c r="AQ14" i="12"/>
  <c r="AF14" i="12"/>
  <c r="AY14" i="12"/>
  <c r="AS14" i="12"/>
  <c r="AE44" i="12"/>
  <c r="AX14" i="12"/>
  <c r="L34" i="10"/>
  <c r="AI14" i="12"/>
  <c r="AR14" i="12"/>
  <c r="AU14" i="12"/>
  <c r="AZ14" i="12"/>
  <c r="D4" i="7"/>
  <c r="M14" i="9"/>
  <c r="D16" i="15"/>
  <c r="C13" i="12"/>
  <c r="B4" i="8"/>
  <c r="D25" i="13"/>
  <c r="F8" i="11"/>
  <c r="C8" i="12"/>
  <c r="F9" i="11"/>
  <c r="F7" i="11"/>
  <c r="C47" i="11"/>
  <c r="F10" i="11"/>
  <c r="D4" i="8"/>
  <c r="N12" i="8"/>
  <c r="AP21" i="9"/>
  <c r="AU21" i="9"/>
  <c r="AT21" i="9"/>
  <c r="K21" i="10" s="1"/>
  <c r="AS21" i="9"/>
  <c r="AR21" i="9"/>
  <c r="AQ21" i="9"/>
  <c r="AO21" i="9"/>
  <c r="AN21" i="9"/>
  <c r="E21" i="10" s="1"/>
  <c r="AM21" i="9"/>
  <c r="AT8" i="9"/>
  <c r="AU8" i="9"/>
  <c r="L8" i="10" s="1"/>
  <c r="AS8" i="9"/>
  <c r="AR8" i="9"/>
  <c r="I8" i="10" s="1"/>
  <c r="AQ8" i="9"/>
  <c r="AP8" i="9"/>
  <c r="AO8" i="9"/>
  <c r="AN8" i="9"/>
  <c r="AM8" i="9"/>
  <c r="H26" i="9"/>
  <c r="D17" i="15"/>
  <c r="B4" i="7"/>
  <c r="AU11" i="9"/>
  <c r="AT11" i="9"/>
  <c r="AS11" i="9"/>
  <c r="J11" i="10" s="1"/>
  <c r="AR11" i="9"/>
  <c r="AQ11" i="9"/>
  <c r="AP11" i="9"/>
  <c r="G11" i="10" s="1"/>
  <c r="AO11" i="9"/>
  <c r="F11" i="10" s="1"/>
  <c r="AN11" i="9"/>
  <c r="AM11" i="9"/>
  <c r="D11" i="10" s="1"/>
  <c r="L7" i="10"/>
  <c r="H15" i="9"/>
  <c r="AN23" i="9"/>
  <c r="AU23" i="9"/>
  <c r="L23" i="10" s="1"/>
  <c r="AS23" i="9"/>
  <c r="J23" i="10" s="1"/>
  <c r="AR23" i="9"/>
  <c r="I23" i="10" s="1"/>
  <c r="AQ23" i="9"/>
  <c r="H23" i="10" s="1"/>
  <c r="AP23" i="9"/>
  <c r="G23" i="10" s="1"/>
  <c r="AO23" i="9"/>
  <c r="F23" i="10" s="1"/>
  <c r="AM23" i="9"/>
  <c r="D23" i="10" s="1"/>
  <c r="AT23" i="9"/>
  <c r="K23" i="10" s="1"/>
  <c r="G25" i="13"/>
  <c r="F21" i="11"/>
  <c r="F20" i="11"/>
  <c r="C11" i="12"/>
  <c r="C50" i="11"/>
  <c r="F22" i="11"/>
  <c r="F19" i="11"/>
  <c r="N25" i="8"/>
  <c r="AD10" i="12"/>
  <c r="H23" i="9"/>
  <c r="P9" i="3"/>
  <c r="E24" i="13"/>
  <c r="E26" i="13" s="1"/>
  <c r="E14" i="11"/>
  <c r="G14" i="11" s="1"/>
  <c r="H14" i="11" s="1"/>
  <c r="AV9" i="12" s="1"/>
  <c r="E13" i="11"/>
  <c r="G13" i="11" s="1"/>
  <c r="H13" i="11" s="1"/>
  <c r="AP9" i="12" s="1"/>
  <c r="B48" i="11"/>
  <c r="E12" i="11"/>
  <c r="G12" i="11" s="1"/>
  <c r="H12" i="11" s="1"/>
  <c r="AJ9" i="12" s="1"/>
  <c r="E11" i="11"/>
  <c r="G11" i="11" s="1"/>
  <c r="H11" i="11" s="1"/>
  <c r="P12" i="3"/>
  <c r="H24" i="13"/>
  <c r="H26" i="13" s="1"/>
  <c r="E26" i="11"/>
  <c r="G26" i="11" s="1"/>
  <c r="H26" i="11" s="1"/>
  <c r="E25" i="11"/>
  <c r="G25" i="11" s="1"/>
  <c r="H25" i="11" s="1"/>
  <c r="E23" i="11"/>
  <c r="G23" i="11" s="1"/>
  <c r="H23" i="11" s="1"/>
  <c r="B51" i="11"/>
  <c r="B19" i="12"/>
  <c r="G9" i="10"/>
  <c r="AS9" i="9"/>
  <c r="J9" i="10" s="1"/>
  <c r="AH20" i="9"/>
  <c r="H22" i="9"/>
  <c r="AS24" i="9"/>
  <c r="J24" i="10" s="1"/>
  <c r="AH34" i="9"/>
  <c r="M8" i="9"/>
  <c r="H9" i="9"/>
  <c r="AT9" i="9"/>
  <c r="K9" i="10" s="1"/>
  <c r="AQ10" i="9"/>
  <c r="H10" i="10" s="1"/>
  <c r="AH13" i="9"/>
  <c r="B25" i="12"/>
  <c r="B33" i="12"/>
  <c r="E23" i="10"/>
  <c r="B34" i="12"/>
  <c r="L24" i="10"/>
  <c r="B39" i="12"/>
  <c r="M30" i="9"/>
  <c r="BA40" i="12" s="1"/>
  <c r="P10" i="3"/>
  <c r="AH8" i="9"/>
  <c r="B20" i="12"/>
  <c r="K10" i="10"/>
  <c r="J10" i="10"/>
  <c r="I10" i="10"/>
  <c r="F10" i="10"/>
  <c r="AM12" i="9"/>
  <c r="D12" i="10" s="1"/>
  <c r="B26" i="12"/>
  <c r="M22" i="9"/>
  <c r="H25" i="9"/>
  <c r="AH30" i="9"/>
  <c r="AL30" i="9" s="1"/>
  <c r="AP30" i="9" s="1"/>
  <c r="AN31" i="9"/>
  <c r="E31" i="10" s="1"/>
  <c r="AM31" i="9"/>
  <c r="AU31" i="9"/>
  <c r="L31" i="10" s="1"/>
  <c r="AO31" i="9"/>
  <c r="E24" i="11"/>
  <c r="G24" i="11" s="1"/>
  <c r="H24" i="11" s="1"/>
  <c r="F24" i="13"/>
  <c r="F26" i="13" s="1"/>
  <c r="B10" i="12"/>
  <c r="D10" i="12" s="1"/>
  <c r="E18" i="11"/>
  <c r="G18" i="11" s="1"/>
  <c r="H18" i="11" s="1"/>
  <c r="AV10" i="12" s="1"/>
  <c r="E17" i="11"/>
  <c r="G17" i="11" s="1"/>
  <c r="H17" i="11" s="1"/>
  <c r="AP10" i="12" s="1"/>
  <c r="B49" i="11"/>
  <c r="E16" i="11"/>
  <c r="G16" i="11" s="1"/>
  <c r="H16" i="11" s="1"/>
  <c r="AJ10" i="12" s="1"/>
  <c r="X8" i="12"/>
  <c r="H8" i="12"/>
  <c r="W8" i="12"/>
  <c r="G8" i="12"/>
  <c r="T8" i="12"/>
  <c r="S8" i="12"/>
  <c r="P8" i="12"/>
  <c r="O8" i="12"/>
  <c r="AB8" i="12"/>
  <c r="L8" i="12"/>
  <c r="AA8" i="12"/>
  <c r="K8" i="12"/>
  <c r="AC8" i="12"/>
  <c r="Z8" i="12"/>
  <c r="Y8" i="12"/>
  <c r="V8" i="12"/>
  <c r="U8" i="12"/>
  <c r="R8" i="12"/>
  <c r="Q8" i="12"/>
  <c r="N8" i="12"/>
  <c r="M8" i="12"/>
  <c r="I8" i="12"/>
  <c r="M9" i="9"/>
  <c r="H10" i="9"/>
  <c r="AN12" i="9"/>
  <c r="AH14" i="9"/>
  <c r="AL14" i="9" s="1"/>
  <c r="AU14" i="9" s="1"/>
  <c r="L14" i="10" s="1"/>
  <c r="H16" i="9"/>
  <c r="I16" i="9" s="1"/>
  <c r="D26" i="12" s="1"/>
  <c r="M23" i="9"/>
  <c r="M24" i="9"/>
  <c r="B34" i="14"/>
  <c r="B37" i="12"/>
  <c r="AP31" i="9"/>
  <c r="G31" i="10" s="1"/>
  <c r="AP34" i="9"/>
  <c r="G34" i="10" s="1"/>
  <c r="AH36" i="9"/>
  <c r="AL36" i="9" s="1"/>
  <c r="AT36" i="9" s="1"/>
  <c r="K36" i="10" s="1"/>
  <c r="K24" i="13"/>
  <c r="K26" i="13" s="1"/>
  <c r="B54" i="11"/>
  <c r="E37" i="11"/>
  <c r="G37" i="11" s="1"/>
  <c r="H37" i="11" s="1"/>
  <c r="E38" i="11"/>
  <c r="G38" i="11" s="1"/>
  <c r="H38" i="11" s="1"/>
  <c r="E36" i="11"/>
  <c r="G36" i="11" s="1"/>
  <c r="H36" i="11" s="1"/>
  <c r="E35" i="11"/>
  <c r="G35" i="11" s="1"/>
  <c r="H35" i="11" s="1"/>
  <c r="S46" i="12"/>
  <c r="R43" i="12"/>
  <c r="P46" i="12"/>
  <c r="O43" i="12"/>
  <c r="O46" i="12"/>
  <c r="N43" i="12"/>
  <c r="N46" i="12"/>
  <c r="AC43" i="12"/>
  <c r="M43" i="12"/>
  <c r="AC46" i="12"/>
  <c r="M46" i="12"/>
  <c r="AB43" i="12"/>
  <c r="L43" i="12"/>
  <c r="K40" i="12"/>
  <c r="AB46" i="12"/>
  <c r="L46" i="12"/>
  <c r="AA43" i="12"/>
  <c r="K43" i="12"/>
  <c r="AA46" i="12"/>
  <c r="K46" i="12"/>
  <c r="Z43" i="12"/>
  <c r="J43" i="12"/>
  <c r="O42" i="12"/>
  <c r="P48" i="12"/>
  <c r="Z46" i="12"/>
  <c r="N48" i="12"/>
  <c r="X46" i="12"/>
  <c r="H46" i="12"/>
  <c r="W43" i="12"/>
  <c r="G43" i="12"/>
  <c r="AC48" i="12"/>
  <c r="M48" i="12"/>
  <c r="W46" i="12"/>
  <c r="G46" i="12"/>
  <c r="AB45" i="12"/>
  <c r="I46" i="12"/>
  <c r="J45" i="12"/>
  <c r="X43" i="12"/>
  <c r="T40" i="12"/>
  <c r="L39" i="12"/>
  <c r="AB37" i="12"/>
  <c r="I37" i="12"/>
  <c r="V43" i="12"/>
  <c r="S40" i="12"/>
  <c r="K39" i="12"/>
  <c r="AA37" i="12"/>
  <c r="H37" i="12"/>
  <c r="U43" i="12"/>
  <c r="AC42" i="12"/>
  <c r="J40" i="12"/>
  <c r="J39" i="12"/>
  <c r="Z37" i="12"/>
  <c r="G37" i="12"/>
  <c r="W36" i="12"/>
  <c r="Y33" i="12"/>
  <c r="G33" i="12"/>
  <c r="P28" i="12"/>
  <c r="U27" i="12"/>
  <c r="O25" i="12"/>
  <c r="AB48" i="12"/>
  <c r="T43" i="12"/>
  <c r="AB42" i="12"/>
  <c r="I40" i="12"/>
  <c r="I39" i="12"/>
  <c r="Y37" i="12"/>
  <c r="C18" i="15"/>
  <c r="E18" i="15" s="1"/>
  <c r="G18" i="15" s="1"/>
  <c r="AA48" i="12"/>
  <c r="I43" i="12"/>
  <c r="AA42" i="12"/>
  <c r="H40" i="12"/>
  <c r="H39" i="12"/>
  <c r="X37" i="12"/>
  <c r="R36" i="12"/>
  <c r="W33" i="12"/>
  <c r="O31" i="12"/>
  <c r="N28" i="12"/>
  <c r="S27" i="12"/>
  <c r="AC25" i="12"/>
  <c r="O48" i="12"/>
  <c r="H43" i="12"/>
  <c r="Z42" i="12"/>
  <c r="G40" i="12"/>
  <c r="W37" i="12"/>
  <c r="Q36" i="12"/>
  <c r="V33" i="12"/>
  <c r="N31" i="12"/>
  <c r="AC28" i="12"/>
  <c r="M28" i="12"/>
  <c r="R27" i="12"/>
  <c r="AB25" i="12"/>
  <c r="L48" i="12"/>
  <c r="Y42" i="12"/>
  <c r="AC39" i="12"/>
  <c r="V37" i="12"/>
  <c r="K48" i="12"/>
  <c r="P42" i="12"/>
  <c r="AB39" i="12"/>
  <c r="U37" i="12"/>
  <c r="O36" i="12"/>
  <c r="S33" i="12"/>
  <c r="AB31" i="12"/>
  <c r="L31" i="12"/>
  <c r="AA28" i="12"/>
  <c r="K28" i="12"/>
  <c r="N42" i="12"/>
  <c r="AA39" i="12"/>
  <c r="T37" i="12"/>
  <c r="M42" i="12"/>
  <c r="Z39" i="12"/>
  <c r="S37" i="12"/>
  <c r="AA45" i="12"/>
  <c r="L42" i="12"/>
  <c r="Z40" i="12"/>
  <c r="Y39" i="12"/>
  <c r="R37" i="12"/>
  <c r="L36" i="12"/>
  <c r="O33" i="12"/>
  <c r="X28" i="12"/>
  <c r="H28" i="12"/>
  <c r="AC27" i="12"/>
  <c r="M27" i="12"/>
  <c r="W25" i="12"/>
  <c r="G25" i="12"/>
  <c r="Z45" i="12"/>
  <c r="K42" i="12"/>
  <c r="Y40" i="12"/>
  <c r="X39" i="12"/>
  <c r="V38" i="12"/>
  <c r="P37" i="12"/>
  <c r="K36" i="12"/>
  <c r="Y46" i="12"/>
  <c r="O45" i="12"/>
  <c r="J42" i="12"/>
  <c r="X40" i="12"/>
  <c r="P39" i="12"/>
  <c r="M37" i="12"/>
  <c r="AC36" i="12"/>
  <c r="J36" i="12"/>
  <c r="M33" i="12"/>
  <c r="W31" i="12"/>
  <c r="G31" i="12"/>
  <c r="V28" i="12"/>
  <c r="AA27" i="12"/>
  <c r="U46" i="12"/>
  <c r="L45" i="12"/>
  <c r="V40" i="12"/>
  <c r="N39" i="12"/>
  <c r="S38" i="12"/>
  <c r="K37" i="12"/>
  <c r="AA36" i="12"/>
  <c r="H36" i="12"/>
  <c r="AC33" i="12"/>
  <c r="K33" i="12"/>
  <c r="U31" i="12"/>
  <c r="Z30" i="12"/>
  <c r="J30" i="12"/>
  <c r="S20" i="12"/>
  <c r="Y18" i="12"/>
  <c r="N45" i="12"/>
  <c r="S32" i="12"/>
  <c r="P26" i="12"/>
  <c r="O23" i="12"/>
  <c r="L22" i="12"/>
  <c r="N21" i="12"/>
  <c r="P20" i="12"/>
  <c r="T19" i="12"/>
  <c r="X18" i="12"/>
  <c r="AC17" i="12"/>
  <c r="K45" i="12"/>
  <c r="I42" i="12"/>
  <c r="Z25" i="12"/>
  <c r="O20" i="12"/>
  <c r="W18" i="12"/>
  <c r="AC37" i="12"/>
  <c r="O32" i="12"/>
  <c r="N26" i="12"/>
  <c r="V25" i="12"/>
  <c r="N20" i="12"/>
  <c r="V18" i="12"/>
  <c r="O39" i="12"/>
  <c r="L37" i="12"/>
  <c r="AB33" i="12"/>
  <c r="U25" i="12"/>
  <c r="M20" i="12"/>
  <c r="U18" i="12"/>
  <c r="M39" i="12"/>
  <c r="J37" i="12"/>
  <c r="T35" i="12"/>
  <c r="N33" i="12"/>
  <c r="T25" i="12"/>
  <c r="L20" i="12"/>
  <c r="R18" i="12"/>
  <c r="L33" i="12"/>
  <c r="W28" i="12"/>
  <c r="AB27" i="12"/>
  <c r="S25" i="12"/>
  <c r="K20" i="12"/>
  <c r="P18" i="12"/>
  <c r="S44" i="12"/>
  <c r="J33" i="12"/>
  <c r="AC30" i="12"/>
  <c r="R29" i="12"/>
  <c r="U28" i="12"/>
  <c r="Z27" i="12"/>
  <c r="R25" i="12"/>
  <c r="H20" i="12"/>
  <c r="O18" i="12"/>
  <c r="AA30" i="12"/>
  <c r="P29" i="12"/>
  <c r="T28" i="12"/>
  <c r="Y27" i="12"/>
  <c r="M25" i="12"/>
  <c r="M18" i="12"/>
  <c r="Y30" i="12"/>
  <c r="O29" i="12"/>
  <c r="S28" i="12"/>
  <c r="X27" i="12"/>
  <c r="L25" i="12"/>
  <c r="J18" i="12"/>
  <c r="R17" i="12"/>
  <c r="M30" i="12"/>
  <c r="N29" i="12"/>
  <c r="G28" i="12"/>
  <c r="P27" i="12"/>
  <c r="J25" i="12"/>
  <c r="AC20" i="12"/>
  <c r="I18" i="12"/>
  <c r="O17" i="12"/>
  <c r="T38" i="12"/>
  <c r="AB36" i="12"/>
  <c r="K30" i="12"/>
  <c r="L27" i="12"/>
  <c r="AB23" i="12"/>
  <c r="V22" i="12"/>
  <c r="X21" i="12"/>
  <c r="AB20" i="12"/>
  <c r="H18" i="12"/>
  <c r="N17" i="12"/>
  <c r="V46" i="12"/>
  <c r="Y43" i="12"/>
  <c r="R38" i="12"/>
  <c r="Z36" i="12"/>
  <c r="R34" i="12"/>
  <c r="X31" i="12"/>
  <c r="I30" i="12"/>
  <c r="K27" i="12"/>
  <c r="W23" i="12"/>
  <c r="U22" i="12"/>
  <c r="W21" i="12"/>
  <c r="AA20" i="12"/>
  <c r="AC19" i="12"/>
  <c r="G18" i="12"/>
  <c r="M17" i="12"/>
  <c r="J46" i="12"/>
  <c r="W40" i="12"/>
  <c r="I36" i="12"/>
  <c r="O34" i="12"/>
  <c r="V31" i="12"/>
  <c r="J27" i="12"/>
  <c r="Z24" i="12"/>
  <c r="V23" i="12"/>
  <c r="T22" i="12"/>
  <c r="V21" i="12"/>
  <c r="X20" i="12"/>
  <c r="AA19" i="12"/>
  <c r="L17" i="12"/>
  <c r="U40" i="12"/>
  <c r="G36" i="12"/>
  <c r="T31" i="12"/>
  <c r="I27" i="12"/>
  <c r="AC26" i="12"/>
  <c r="T23" i="12"/>
  <c r="S22" i="12"/>
  <c r="S21" i="12"/>
  <c r="V20" i="12"/>
  <c r="AC18" i="12"/>
  <c r="K17" i="12"/>
  <c r="H31" i="12"/>
  <c r="H27" i="12"/>
  <c r="U26" i="12"/>
  <c r="Q23" i="12"/>
  <c r="R22" i="12"/>
  <c r="Q21" i="12"/>
  <c r="U20" i="12"/>
  <c r="Z18" i="12"/>
  <c r="J17" i="12"/>
  <c r="H37" i="9"/>
  <c r="H33" i="9"/>
  <c r="H29" i="9"/>
  <c r="H36" i="9"/>
  <c r="I36" i="9" s="1"/>
  <c r="D46" i="12" s="1"/>
  <c r="H32" i="9"/>
  <c r="I32" i="9" s="1"/>
  <c r="D42" i="12" s="1"/>
  <c r="H28" i="9"/>
  <c r="H38" i="9"/>
  <c r="H34" i="9"/>
  <c r="N11" i="12"/>
  <c r="AC11" i="12"/>
  <c r="M11" i="12"/>
  <c r="AB11" i="12"/>
  <c r="L11" i="12"/>
  <c r="AA11" i="12"/>
  <c r="K11" i="12"/>
  <c r="X11" i="12"/>
  <c r="H11" i="12"/>
  <c r="W11" i="12"/>
  <c r="G11" i="12"/>
  <c r="V11" i="12"/>
  <c r="U11" i="12"/>
  <c r="T11" i="12"/>
  <c r="S11" i="12"/>
  <c r="R11" i="12"/>
  <c r="Q11" i="12"/>
  <c r="P11" i="12"/>
  <c r="O11" i="12"/>
  <c r="Z11" i="12"/>
  <c r="Y11" i="12"/>
  <c r="J11" i="12"/>
  <c r="I11" i="12"/>
  <c r="I10" i="9"/>
  <c r="D20" i="12" s="1"/>
  <c r="AO12" i="9"/>
  <c r="F12" i="10" s="1"/>
  <c r="M15" i="9"/>
  <c r="AQ25" i="12" s="1"/>
  <c r="B27" i="12"/>
  <c r="AH22" i="9"/>
  <c r="AL22" i="9" s="1"/>
  <c r="AU22" i="9" s="1"/>
  <c r="L22" i="10" s="1"/>
  <c r="H27" i="9"/>
  <c r="M28" i="9"/>
  <c r="AY38" i="12" s="1"/>
  <c r="AH29" i="9"/>
  <c r="AL29" i="9" s="1"/>
  <c r="AO29" i="9" s="1"/>
  <c r="F29" i="10" s="1"/>
  <c r="AQ31" i="9"/>
  <c r="H31" i="10" s="1"/>
  <c r="AR30" i="9"/>
  <c r="AR36" i="9"/>
  <c r="I36" i="10" s="1"/>
  <c r="P13" i="3"/>
  <c r="M37" i="9"/>
  <c r="M33" i="9"/>
  <c r="M29" i="9"/>
  <c r="M25" i="9"/>
  <c r="AY35" i="12" s="1"/>
  <c r="M21" i="9"/>
  <c r="AU31" i="12" s="1"/>
  <c r="M17" i="9"/>
  <c r="M36" i="9"/>
  <c r="M32" i="9"/>
  <c r="M35" i="9"/>
  <c r="M31" i="9"/>
  <c r="M27" i="9"/>
  <c r="I24" i="13"/>
  <c r="I26" i="13" s="1"/>
  <c r="E30" i="11"/>
  <c r="G30" i="11" s="1"/>
  <c r="H30" i="11" s="1"/>
  <c r="E29" i="11"/>
  <c r="G29" i="11" s="1"/>
  <c r="H29" i="11" s="1"/>
  <c r="E27" i="11"/>
  <c r="G27" i="11" s="1"/>
  <c r="H27" i="11" s="1"/>
  <c r="E28" i="11"/>
  <c r="G28" i="11" s="1"/>
  <c r="H28" i="11" s="1"/>
  <c r="AN7" i="9"/>
  <c r="E7" i="10" s="1"/>
  <c r="AH9" i="9"/>
  <c r="B21" i="12"/>
  <c r="L11" i="10"/>
  <c r="K11" i="10"/>
  <c r="I11" i="10"/>
  <c r="H11" i="10"/>
  <c r="E11" i="10"/>
  <c r="AP12" i="9"/>
  <c r="G12" i="10" s="1"/>
  <c r="AM13" i="9"/>
  <c r="M16" i="9"/>
  <c r="AS26" i="12" s="1"/>
  <c r="H17" i="9"/>
  <c r="AN20" i="9"/>
  <c r="E20" i="10" s="1"/>
  <c r="AR31" i="9"/>
  <c r="I31" i="10" s="1"/>
  <c r="B45" i="12"/>
  <c r="B38" i="14"/>
  <c r="AM30" i="9"/>
  <c r="AH35" i="9"/>
  <c r="AL35" i="9" s="1"/>
  <c r="AO35" i="9" s="1"/>
  <c r="F35" i="10" s="1"/>
  <c r="AH31" i="9"/>
  <c r="AH27" i="9"/>
  <c r="AL27" i="9" s="1"/>
  <c r="AS27" i="9" s="1"/>
  <c r="J27" i="10" s="1"/>
  <c r="AH23" i="9"/>
  <c r="AH19" i="9"/>
  <c r="AL19" i="9" s="1"/>
  <c r="AS19" i="9" s="1"/>
  <c r="J19" i="10" s="1"/>
  <c r="AH15" i="9"/>
  <c r="AL15" i="9" s="1"/>
  <c r="AU15" i="9" s="1"/>
  <c r="AH11" i="9"/>
  <c r="AH7" i="9"/>
  <c r="AH38" i="9"/>
  <c r="AL38" i="9" s="1"/>
  <c r="AR38" i="9" s="1"/>
  <c r="I38" i="10" s="1"/>
  <c r="AH37" i="9"/>
  <c r="AL37" i="9" s="1"/>
  <c r="AT37" i="9" s="1"/>
  <c r="K37" i="10" s="1"/>
  <c r="AH33" i="9"/>
  <c r="P8" i="3"/>
  <c r="AU36" i="9"/>
  <c r="L36" i="10" s="1"/>
  <c r="AO7" i="9"/>
  <c r="F7" i="10" s="1"/>
  <c r="M10" i="9"/>
  <c r="AD20" i="12" s="1"/>
  <c r="H11" i="9"/>
  <c r="AQ12" i="9"/>
  <c r="H12" i="10" s="1"/>
  <c r="AN13" i="9"/>
  <c r="E13" i="10" s="1"/>
  <c r="AO20" i="9"/>
  <c r="F20" i="10" s="1"/>
  <c r="AH25" i="9"/>
  <c r="AL25" i="9" s="1"/>
  <c r="AU25" i="9" s="1"/>
  <c r="L25" i="10" s="1"/>
  <c r="M26" i="9"/>
  <c r="AQ36" i="12" s="1"/>
  <c r="AH28" i="9"/>
  <c r="AL28" i="9" s="1"/>
  <c r="AT28" i="9" s="1"/>
  <c r="K28" i="10" s="1"/>
  <c r="AN30" i="9"/>
  <c r="AS31" i="9"/>
  <c r="J31" i="10" s="1"/>
  <c r="H35" i="9"/>
  <c r="I21" i="10"/>
  <c r="D24" i="13"/>
  <c r="E10" i="11"/>
  <c r="E9" i="11"/>
  <c r="E8" i="11"/>
  <c r="E7" i="11"/>
  <c r="G7" i="11" s="1"/>
  <c r="H7" i="11" s="1"/>
  <c r="B47" i="11"/>
  <c r="B8" i="12"/>
  <c r="L24" i="13"/>
  <c r="L26" i="13" s="1"/>
  <c r="B12" i="12"/>
  <c r="D12" i="12" s="1"/>
  <c r="E42" i="11"/>
  <c r="G42" i="11" s="1"/>
  <c r="H42" i="11" s="1"/>
  <c r="AV12" i="12" s="1"/>
  <c r="E41" i="11"/>
  <c r="G41" i="11" s="1"/>
  <c r="H41" i="11" s="1"/>
  <c r="AP12" i="12" s="1"/>
  <c r="B55" i="11"/>
  <c r="E40" i="11"/>
  <c r="G40" i="11" s="1"/>
  <c r="H40" i="11" s="1"/>
  <c r="AJ12" i="12" s="1"/>
  <c r="E39" i="11"/>
  <c r="G39" i="11" s="1"/>
  <c r="H39" i="11" s="1"/>
  <c r="AP7" i="9"/>
  <c r="G7" i="10" s="1"/>
  <c r="AR12" i="9"/>
  <c r="I12" i="10" s="1"/>
  <c r="AO13" i="9"/>
  <c r="F13" i="10" s="1"/>
  <c r="AH16" i="9"/>
  <c r="AL16" i="9" s="1"/>
  <c r="AR16" i="9" s="1"/>
  <c r="I16" i="10" s="1"/>
  <c r="H18" i="9"/>
  <c r="AP20" i="9"/>
  <c r="G20" i="10" s="1"/>
  <c r="AT31" i="9"/>
  <c r="K31" i="10" s="1"/>
  <c r="AM36" i="9"/>
  <c r="J8" i="12"/>
  <c r="AH21" i="9"/>
  <c r="B35" i="12"/>
  <c r="AR34" i="9"/>
  <c r="I34" i="10" s="1"/>
  <c r="AQ34" i="9"/>
  <c r="H34" i="10" s="1"/>
  <c r="AO34" i="9"/>
  <c r="F34" i="10" s="1"/>
  <c r="AN34" i="9"/>
  <c r="E34" i="10" s="1"/>
  <c r="AM34" i="9"/>
  <c r="D34" i="10" s="1"/>
  <c r="AT34" i="9"/>
  <c r="K34" i="10" s="1"/>
  <c r="AS34" i="9"/>
  <c r="J34" i="10" s="1"/>
  <c r="C19" i="15"/>
  <c r="E19" i="15" s="1"/>
  <c r="G19" i="15" s="1"/>
  <c r="AQ7" i="9"/>
  <c r="H7" i="10" s="1"/>
  <c r="AH10" i="9"/>
  <c r="B22" i="12"/>
  <c r="K12" i="10"/>
  <c r="E12" i="10"/>
  <c r="AS12" i="9"/>
  <c r="J12" i="10" s="1"/>
  <c r="AQ13" i="9"/>
  <c r="H13" i="10" s="1"/>
  <c r="B29" i="12"/>
  <c r="AQ20" i="9"/>
  <c r="H20" i="10" s="1"/>
  <c r="AH26" i="9"/>
  <c r="AL26" i="9" s="1"/>
  <c r="AR26" i="9" s="1"/>
  <c r="I26" i="10" s="1"/>
  <c r="AN36" i="9"/>
  <c r="AP29" i="9"/>
  <c r="G29" i="10" s="1"/>
  <c r="P11" i="3"/>
  <c r="G24" i="13"/>
  <c r="G26" i="13" s="1"/>
  <c r="E21" i="11"/>
  <c r="B50" i="11"/>
  <c r="B11" i="12"/>
  <c r="E22" i="11"/>
  <c r="G22" i="11" s="1"/>
  <c r="H22" i="11" s="1"/>
  <c r="AV11" i="12" s="1"/>
  <c r="E20" i="11"/>
  <c r="E19" i="11"/>
  <c r="M11" i="9"/>
  <c r="AH21" i="12" s="1"/>
  <c r="H12" i="9"/>
  <c r="I12" i="9" s="1"/>
  <c r="D22" i="12" s="1"/>
  <c r="AU12" i="9"/>
  <c r="L12" i="10" s="1"/>
  <c r="AR13" i="9"/>
  <c r="I13" i="10" s="1"/>
  <c r="AO14" i="9"/>
  <c r="F14" i="10" s="1"/>
  <c r="AH17" i="9"/>
  <c r="AL17" i="9" s="1"/>
  <c r="AQ17" i="9" s="1"/>
  <c r="H17" i="10" s="1"/>
  <c r="H19" i="9"/>
  <c r="AR20" i="9"/>
  <c r="I20" i="10" s="1"/>
  <c r="AT24" i="9"/>
  <c r="K24" i="10" s="1"/>
  <c r="AQ24" i="9"/>
  <c r="H24" i="10" s="1"/>
  <c r="AQ29" i="9"/>
  <c r="H29" i="10" s="1"/>
  <c r="AT30" i="9"/>
  <c r="AU33" i="9"/>
  <c r="L33" i="10" s="1"/>
  <c r="AS33" i="9"/>
  <c r="J33" i="10" s="1"/>
  <c r="AR33" i="9"/>
  <c r="I33" i="10" s="1"/>
  <c r="AQ33" i="9"/>
  <c r="H33" i="10" s="1"/>
  <c r="AP33" i="9"/>
  <c r="AO33" i="9"/>
  <c r="F33" i="10" s="1"/>
  <c r="AN33" i="9"/>
  <c r="E33" i="10" s="1"/>
  <c r="AM33" i="9"/>
  <c r="D33" i="10" s="1"/>
  <c r="AO36" i="9"/>
  <c r="F36" i="10" s="1"/>
  <c r="L15" i="10"/>
  <c r="H24" i="9"/>
  <c r="I24" i="9" s="1"/>
  <c r="D34" i="12" s="1"/>
  <c r="Z13" i="12"/>
  <c r="J13" i="12"/>
  <c r="Y13" i="12"/>
  <c r="I13" i="12"/>
  <c r="X13" i="12"/>
  <c r="H13" i="12"/>
  <c r="W13" i="12"/>
  <c r="G13" i="12"/>
  <c r="V13" i="12"/>
  <c r="U13" i="12"/>
  <c r="T13" i="12"/>
  <c r="S13" i="12"/>
  <c r="R13" i="12"/>
  <c r="Q13" i="12"/>
  <c r="P13" i="12"/>
  <c r="O13" i="12"/>
  <c r="N13" i="12"/>
  <c r="AC13" i="12"/>
  <c r="M13" i="12"/>
  <c r="AB13" i="12"/>
  <c r="L13" i="12"/>
  <c r="AA13" i="12"/>
  <c r="K13" i="12"/>
  <c r="B32" i="14"/>
  <c r="B17" i="12"/>
  <c r="I7" i="10"/>
  <c r="D7" i="10"/>
  <c r="AS7" i="9"/>
  <c r="J7" i="10" s="1"/>
  <c r="AM9" i="9"/>
  <c r="D9" i="10" s="1"/>
  <c r="B23" i="12"/>
  <c r="D13" i="10"/>
  <c r="G13" i="10"/>
  <c r="AS13" i="9"/>
  <c r="J13" i="10" s="1"/>
  <c r="AP14" i="9"/>
  <c r="G14" i="10" s="1"/>
  <c r="AM15" i="9"/>
  <c r="D15" i="10" s="1"/>
  <c r="M18" i="9"/>
  <c r="BA28" i="12" s="1"/>
  <c r="B30" i="12"/>
  <c r="D20" i="10"/>
  <c r="AS20" i="9"/>
  <c r="J20" i="10" s="1"/>
  <c r="AM24" i="9"/>
  <c r="D24" i="10" s="1"/>
  <c r="AR29" i="9"/>
  <c r="I29" i="10" s="1"/>
  <c r="AU30" i="9"/>
  <c r="AH32" i="9"/>
  <c r="AT33" i="9"/>
  <c r="K33" i="10" s="1"/>
  <c r="AP36" i="9"/>
  <c r="G36" i="10" s="1"/>
  <c r="AU38" i="9"/>
  <c r="L38" i="10" s="1"/>
  <c r="P6" i="3"/>
  <c r="B21" i="3" s="1"/>
  <c r="D21" i="3" s="1"/>
  <c r="E21" i="3" s="1"/>
  <c r="AS29" i="9"/>
  <c r="J29" i="10" s="1"/>
  <c r="AS36" i="9"/>
  <c r="J36" i="10" s="1"/>
  <c r="P14" i="3"/>
  <c r="C10" i="15"/>
  <c r="E10" i="15" s="1"/>
  <c r="G10" i="15" s="1"/>
  <c r="J24" i="13"/>
  <c r="J26" i="13" s="1"/>
  <c r="E34" i="11"/>
  <c r="G34" i="11" s="1"/>
  <c r="H34" i="11" s="1"/>
  <c r="B53" i="11"/>
  <c r="E33" i="11"/>
  <c r="G33" i="11" s="1"/>
  <c r="H33" i="11" s="1"/>
  <c r="E32" i="11"/>
  <c r="G32" i="11" s="1"/>
  <c r="H32" i="11" s="1"/>
  <c r="E31" i="11"/>
  <c r="G31" i="11" s="1"/>
  <c r="H31" i="11" s="1"/>
  <c r="C20" i="15"/>
  <c r="E20" i="15" s="1"/>
  <c r="G20" i="15" s="1"/>
  <c r="H7" i="9"/>
  <c r="I7" i="9" s="1"/>
  <c r="AT7" i="9"/>
  <c r="K7" i="10" s="1"/>
  <c r="AN9" i="9"/>
  <c r="E9" i="10" s="1"/>
  <c r="M12" i="9"/>
  <c r="BA22" i="12" s="1"/>
  <c r="H13" i="9"/>
  <c r="AT13" i="9"/>
  <c r="K13" i="10" s="1"/>
  <c r="H20" i="9"/>
  <c r="AU20" i="9"/>
  <c r="L20" i="10" s="1"/>
  <c r="AN24" i="9"/>
  <c r="E24" i="10" s="1"/>
  <c r="AT29" i="9"/>
  <c r="K29" i="10" s="1"/>
  <c r="B41" i="12"/>
  <c r="F31" i="10"/>
  <c r="D31" i="10"/>
  <c r="AO9" i="9"/>
  <c r="F9" i="10" s="1"/>
  <c r="AM10" i="9"/>
  <c r="D10" i="10" s="1"/>
  <c r="AU13" i="9"/>
  <c r="L13" i="10" s="1"/>
  <c r="AR14" i="9"/>
  <c r="I14" i="10" s="1"/>
  <c r="AH18" i="9"/>
  <c r="AL18" i="9" s="1"/>
  <c r="AN18" i="9" s="1"/>
  <c r="E18" i="10" s="1"/>
  <c r="M19" i="9"/>
  <c r="BA29" i="12" s="1"/>
  <c r="B31" i="12"/>
  <c r="F21" i="10"/>
  <c r="D21" i="10"/>
  <c r="L21" i="10"/>
  <c r="J21" i="10"/>
  <c r="H21" i="10"/>
  <c r="G21" i="10"/>
  <c r="AO24" i="9"/>
  <c r="F24" i="10" s="1"/>
  <c r="AM26" i="9"/>
  <c r="D26" i="10" s="1"/>
  <c r="AU29" i="9"/>
  <c r="L29" i="10" s="1"/>
  <c r="H31" i="9"/>
  <c r="I31" i="9" s="1"/>
  <c r="D41" i="12" s="1"/>
  <c r="B9" i="12"/>
  <c r="D9" i="12" s="1"/>
  <c r="B18" i="12"/>
  <c r="K8" i="10"/>
  <c r="J8" i="10"/>
  <c r="H8" i="10"/>
  <c r="G8" i="10"/>
  <c r="F8" i="10"/>
  <c r="E8" i="10"/>
  <c r="D8" i="10"/>
  <c r="AQ9" i="9"/>
  <c r="H9" i="10" s="1"/>
  <c r="AN10" i="9"/>
  <c r="E10" i="10" s="1"/>
  <c r="AH12" i="9"/>
  <c r="B33" i="14"/>
  <c r="B24" i="12"/>
  <c r="AS14" i="9"/>
  <c r="J14" i="10" s="1"/>
  <c r="M20" i="9"/>
  <c r="AR30" i="12" s="1"/>
  <c r="H21" i="9"/>
  <c r="I21" i="9" s="1"/>
  <c r="D31" i="12" s="1"/>
  <c r="AP24" i="9"/>
  <c r="G24" i="10" s="1"/>
  <c r="H30" i="9"/>
  <c r="M34" i="9"/>
  <c r="M7" i="9"/>
  <c r="BA17" i="12" s="1"/>
  <c r="H8" i="9"/>
  <c r="AR9" i="9"/>
  <c r="I9" i="10" s="1"/>
  <c r="M13" i="9"/>
  <c r="AQ23" i="12" s="1"/>
  <c r="H14" i="9"/>
  <c r="AR24" i="9"/>
  <c r="I24" i="10" s="1"/>
  <c r="AP26" i="9"/>
  <c r="G26" i="10" s="1"/>
  <c r="AP28" i="9"/>
  <c r="G28" i="10" s="1"/>
  <c r="AR35" i="9"/>
  <c r="I35" i="10" s="1"/>
  <c r="D32" i="10"/>
  <c r="G33" i="10"/>
  <c r="E32" i="10"/>
  <c r="AG44" i="12"/>
  <c r="AG14" i="12"/>
  <c r="G32" i="10"/>
  <c r="BA14" i="12"/>
  <c r="AQ32" i="9"/>
  <c r="H32" i="10" s="1"/>
  <c r="D36" i="10"/>
  <c r="B36" i="14"/>
  <c r="B42" i="12"/>
  <c r="AR32" i="9"/>
  <c r="I32" i="10" s="1"/>
  <c r="L32" i="10"/>
  <c r="E36" i="10"/>
  <c r="AS32" i="9"/>
  <c r="J32" i="10" s="1"/>
  <c r="AO14" i="12"/>
  <c r="I28" i="9"/>
  <c r="D38" i="12" s="1"/>
  <c r="AW38" i="12" s="1"/>
  <c r="AT32" i="9"/>
  <c r="K32" i="10" s="1"/>
  <c r="AC23" i="12"/>
  <c r="B43" i="12"/>
  <c r="B37" i="14"/>
  <c r="B47" i="12"/>
  <c r="BA18" i="12"/>
  <c r="AX18" i="12"/>
  <c r="Y24" i="12"/>
  <c r="AT14" i="12"/>
  <c r="B32" i="12"/>
  <c r="B48" i="12"/>
  <c r="AW14" i="12"/>
  <c r="O19" i="12"/>
  <c r="AD19" i="12"/>
  <c r="N19" i="12"/>
  <c r="AB19" i="12"/>
  <c r="L19" i="12"/>
  <c r="Y19" i="12"/>
  <c r="I19" i="12"/>
  <c r="W19" i="12"/>
  <c r="G19" i="12"/>
  <c r="V19" i="12"/>
  <c r="X19" i="12"/>
  <c r="AX19" i="12"/>
  <c r="X24" i="12"/>
  <c r="Z19" i="12"/>
  <c r="AY19" i="12"/>
  <c r="V24" i="12"/>
  <c r="BA24" i="12"/>
  <c r="U24" i="12"/>
  <c r="AZ24" i="12"/>
  <c r="T24" i="12"/>
  <c r="AY24" i="12"/>
  <c r="S24" i="12"/>
  <c r="AV24" i="12"/>
  <c r="P24" i="12"/>
  <c r="AT24" i="12"/>
  <c r="N24" i="12"/>
  <c r="AS24" i="12"/>
  <c r="AC24" i="12"/>
  <c r="M24" i="12"/>
  <c r="AR24" i="12"/>
  <c r="AB24" i="12"/>
  <c r="L24" i="12"/>
  <c r="AA24" i="12"/>
  <c r="U21" i="12"/>
  <c r="T21" i="12"/>
  <c r="R21" i="12"/>
  <c r="O21" i="12"/>
  <c r="AC21" i="12"/>
  <c r="M21" i="12"/>
  <c r="AB21" i="12"/>
  <c r="L21" i="12"/>
  <c r="Y21" i="12"/>
  <c r="Y22" i="12"/>
  <c r="AJ33" i="12"/>
  <c r="AU44" i="12"/>
  <c r="AE14" i="12"/>
  <c r="H19" i="12"/>
  <c r="Z21" i="12"/>
  <c r="P22" i="12"/>
  <c r="O22" i="12"/>
  <c r="N22" i="12"/>
  <c r="AC22" i="12"/>
  <c r="M22" i="12"/>
  <c r="Z22" i="12"/>
  <c r="J22" i="12"/>
  <c r="AN22" i="12"/>
  <c r="X22" i="12"/>
  <c r="H22" i="12"/>
  <c r="W22" i="12"/>
  <c r="G22" i="12"/>
  <c r="AA22" i="12"/>
  <c r="AA23" i="12"/>
  <c r="K23" i="12"/>
  <c r="Z23" i="12"/>
  <c r="J23" i="12"/>
  <c r="Y23" i="12"/>
  <c r="I23" i="12"/>
  <c r="X23" i="12"/>
  <c r="H23" i="12"/>
  <c r="U23" i="12"/>
  <c r="S23" i="12"/>
  <c r="R23" i="12"/>
  <c r="AR33" i="12"/>
  <c r="AA35" i="12"/>
  <c r="K35" i="12"/>
  <c r="Y35" i="12"/>
  <c r="I35" i="12"/>
  <c r="X35" i="12"/>
  <c r="H35" i="12"/>
  <c r="S35" i="12"/>
  <c r="R35" i="12"/>
  <c r="Q35" i="12"/>
  <c r="P35" i="12"/>
  <c r="BA35" i="12"/>
  <c r="O35" i="12"/>
  <c r="N35" i="12"/>
  <c r="M35" i="12"/>
  <c r="L35" i="12"/>
  <c r="J35" i="12"/>
  <c r="AC35" i="12"/>
  <c r="G35" i="12"/>
  <c r="AB35" i="12"/>
  <c r="Z35" i="12"/>
  <c r="W35" i="12"/>
  <c r="U35" i="12"/>
  <c r="H22" i="13"/>
  <c r="T17" i="12"/>
  <c r="J19" i="12"/>
  <c r="AA21" i="12"/>
  <c r="AB22" i="12"/>
  <c r="G24" i="12"/>
  <c r="U17" i="12"/>
  <c r="K19" i="12"/>
  <c r="H24" i="12"/>
  <c r="AB26" i="12"/>
  <c r="L26" i="12"/>
  <c r="AA26" i="12"/>
  <c r="K26" i="12"/>
  <c r="Z26" i="12"/>
  <c r="J26" i="12"/>
  <c r="Y26" i="12"/>
  <c r="I26" i="12"/>
  <c r="X26" i="12"/>
  <c r="H26" i="12"/>
  <c r="W26" i="12"/>
  <c r="G26" i="12"/>
  <c r="V26" i="12"/>
  <c r="T26" i="12"/>
  <c r="S26" i="12"/>
  <c r="R26" i="12"/>
  <c r="AT26" i="12"/>
  <c r="AT32" i="12"/>
  <c r="N32" i="12"/>
  <c r="AS32" i="12"/>
  <c r="AC32" i="12"/>
  <c r="M32" i="12"/>
  <c r="AR32" i="12"/>
  <c r="AB32" i="12"/>
  <c r="L32" i="12"/>
  <c r="AQ32" i="12"/>
  <c r="AA32" i="12"/>
  <c r="K32" i="12"/>
  <c r="AP32" i="12"/>
  <c r="Z32" i="12"/>
  <c r="J32" i="12"/>
  <c r="Y32" i="12"/>
  <c r="I32" i="12"/>
  <c r="X32" i="12"/>
  <c r="H32" i="12"/>
  <c r="W32" i="12"/>
  <c r="G32" i="12"/>
  <c r="V32" i="12"/>
  <c r="BA32" i="12"/>
  <c r="U32" i="12"/>
  <c r="AZ32" i="12"/>
  <c r="T32" i="12"/>
  <c r="AX32" i="12"/>
  <c r="R32" i="12"/>
  <c r="AV32" i="12"/>
  <c r="P32" i="12"/>
  <c r="V17" i="12"/>
  <c r="M19" i="12"/>
  <c r="G21" i="12"/>
  <c r="I24" i="12"/>
  <c r="B22" i="14"/>
  <c r="Y17" i="12"/>
  <c r="I17" i="12"/>
  <c r="X17" i="12"/>
  <c r="H17" i="12"/>
  <c r="S17" i="12"/>
  <c r="Q17" i="12"/>
  <c r="P17" i="12"/>
  <c r="W17" i="12"/>
  <c r="P19" i="12"/>
  <c r="H21" i="12"/>
  <c r="G23" i="12"/>
  <c r="J24" i="12"/>
  <c r="AP24" i="12"/>
  <c r="Z17" i="12"/>
  <c r="Q19" i="12"/>
  <c r="I21" i="12"/>
  <c r="L23" i="12"/>
  <c r="K24" i="12"/>
  <c r="AQ24" i="12"/>
  <c r="M26" i="12"/>
  <c r="V35" i="12"/>
  <c r="AA17" i="12"/>
  <c r="R19" i="12"/>
  <c r="J21" i="12"/>
  <c r="I22" i="12"/>
  <c r="AK22" i="12"/>
  <c r="M23" i="12"/>
  <c r="O24" i="12"/>
  <c r="AU24" i="12"/>
  <c r="AN14" i="12"/>
  <c r="AB17" i="12"/>
  <c r="S19" i="12"/>
  <c r="K21" i="12"/>
  <c r="K22" i="12"/>
  <c r="N23" i="12"/>
  <c r="Q24" i="12"/>
  <c r="AW24" i="12"/>
  <c r="O26" i="12"/>
  <c r="Q32" i="12"/>
  <c r="R24" i="12"/>
  <c r="AX24" i="12"/>
  <c r="G17" i="12"/>
  <c r="AZ18" i="12"/>
  <c r="U19" i="12"/>
  <c r="AW19" i="12"/>
  <c r="P21" i="12"/>
  <c r="Q22" i="12"/>
  <c r="AQ22" i="12"/>
  <c r="P23" i="12"/>
  <c r="W24" i="12"/>
  <c r="Q26" i="12"/>
  <c r="AL34" i="12"/>
  <c r="AZ40" i="12"/>
  <c r="Q34" i="12"/>
  <c r="AJ34" i="12"/>
  <c r="AC41" i="12"/>
  <c r="M41" i="12"/>
  <c r="AB41" i="12"/>
  <c r="L41" i="12"/>
  <c r="AA41" i="12"/>
  <c r="K41" i="12"/>
  <c r="Z41" i="12"/>
  <c r="J41" i="12"/>
  <c r="Y41" i="12"/>
  <c r="I41" i="12"/>
  <c r="X41" i="12"/>
  <c r="H41" i="12"/>
  <c r="W41" i="12"/>
  <c r="G41" i="12"/>
  <c r="V41" i="12"/>
  <c r="AF41" i="12"/>
  <c r="AJ43" i="12"/>
  <c r="T44" i="12"/>
  <c r="B20" i="14"/>
  <c r="F22" i="13"/>
  <c r="B21" i="14"/>
  <c r="G22" i="13"/>
  <c r="Q29" i="12"/>
  <c r="L30" i="12"/>
  <c r="AB30" i="12"/>
  <c r="S34" i="12"/>
  <c r="AB38" i="12"/>
  <c r="L38" i="12"/>
  <c r="AA38" i="12"/>
  <c r="Z38" i="12"/>
  <c r="J38" i="12"/>
  <c r="Y38" i="12"/>
  <c r="I38" i="12"/>
  <c r="X38" i="12"/>
  <c r="H38" i="12"/>
  <c r="W38" i="12"/>
  <c r="U38" i="12"/>
  <c r="AH41" i="12"/>
  <c r="AL43" i="12"/>
  <c r="AF44" i="12"/>
  <c r="AV34" i="12"/>
  <c r="P34" i="12"/>
  <c r="AT34" i="12"/>
  <c r="N34" i="12"/>
  <c r="AS34" i="12"/>
  <c r="AC34" i="12"/>
  <c r="M34" i="12"/>
  <c r="T34" i="12"/>
  <c r="AM34" i="12"/>
  <c r="AS27" i="12"/>
  <c r="S29" i="12"/>
  <c r="N30" i="12"/>
  <c r="I31" i="12"/>
  <c r="Y31" i="12"/>
  <c r="U34" i="12"/>
  <c r="AN34" i="12"/>
  <c r="AC38" i="12"/>
  <c r="AX40" i="12"/>
  <c r="AJ41" i="12"/>
  <c r="AO43" i="12"/>
  <c r="AI44" i="12"/>
  <c r="B25" i="14"/>
  <c r="K22" i="13"/>
  <c r="K18" i="12"/>
  <c r="AA18" i="12"/>
  <c r="Q20" i="12"/>
  <c r="H25" i="12"/>
  <c r="X25" i="12"/>
  <c r="N27" i="12"/>
  <c r="I28" i="12"/>
  <c r="Y28" i="12"/>
  <c r="T29" i="12"/>
  <c r="O30" i="12"/>
  <c r="J31" i="12"/>
  <c r="Z31" i="12"/>
  <c r="P33" i="12"/>
  <c r="V34" i="12"/>
  <c r="AO34" i="12"/>
  <c r="M36" i="12"/>
  <c r="BA36" i="12"/>
  <c r="AY43" i="12"/>
  <c r="AZ43" i="12"/>
  <c r="M6" i="13"/>
  <c r="L18" i="12"/>
  <c r="AB18" i="12"/>
  <c r="R20" i="12"/>
  <c r="I25" i="12"/>
  <c r="Y25" i="12"/>
  <c r="O27" i="12"/>
  <c r="J28" i="12"/>
  <c r="Z28" i="12"/>
  <c r="U29" i="12"/>
  <c r="P30" i="12"/>
  <c r="K31" i="12"/>
  <c r="AA31" i="12"/>
  <c r="BA33" i="12"/>
  <c r="AK33" i="12"/>
  <c r="U33" i="12"/>
  <c r="AY33" i="12"/>
  <c r="AX33" i="12"/>
  <c r="R33" i="12"/>
  <c r="Q33" i="12"/>
  <c r="AL33" i="12"/>
  <c r="W34" i="12"/>
  <c r="AP34" i="12"/>
  <c r="N36" i="12"/>
  <c r="N41" i="12"/>
  <c r="L22" i="13"/>
  <c r="V29" i="12"/>
  <c r="Q30" i="12"/>
  <c r="X34" i="12"/>
  <c r="AQ34" i="12"/>
  <c r="O41" i="12"/>
  <c r="AX43" i="12"/>
  <c r="AH43" i="12"/>
  <c r="AU43" i="12"/>
  <c r="AE43" i="12"/>
  <c r="AT43" i="12"/>
  <c r="AD43" i="12"/>
  <c r="AS43" i="12"/>
  <c r="AR43" i="12"/>
  <c r="AQ43" i="12"/>
  <c r="AP43" i="12"/>
  <c r="AM43" i="12"/>
  <c r="AT44" i="12"/>
  <c r="N44" i="12"/>
  <c r="AS44" i="12"/>
  <c r="AC44" i="12"/>
  <c r="M44" i="12"/>
  <c r="AR44" i="12"/>
  <c r="AB44" i="12"/>
  <c r="L44" i="12"/>
  <c r="AQ44" i="12"/>
  <c r="AA44" i="12"/>
  <c r="K44" i="12"/>
  <c r="Z44" i="12"/>
  <c r="J44" i="12"/>
  <c r="AO44" i="12"/>
  <c r="Y44" i="12"/>
  <c r="I44" i="12"/>
  <c r="AN44" i="12"/>
  <c r="X44" i="12"/>
  <c r="H44" i="12"/>
  <c r="AM44" i="12"/>
  <c r="W44" i="12"/>
  <c r="G44" i="12"/>
  <c r="AL44" i="12"/>
  <c r="V44" i="12"/>
  <c r="BA44" i="12"/>
  <c r="AK44" i="12"/>
  <c r="U44" i="12"/>
  <c r="AX44" i="12"/>
  <c r="AH44" i="12"/>
  <c r="R44" i="12"/>
  <c r="O47" i="12"/>
  <c r="N47" i="12"/>
  <c r="AC47" i="12"/>
  <c r="M47" i="12"/>
  <c r="AB47" i="12"/>
  <c r="L47" i="12"/>
  <c r="AA47" i="12"/>
  <c r="K47" i="12"/>
  <c r="Z47" i="12"/>
  <c r="J47" i="12"/>
  <c r="Y47" i="12"/>
  <c r="I47" i="12"/>
  <c r="X47" i="12"/>
  <c r="H47" i="12"/>
  <c r="W47" i="12"/>
  <c r="G47" i="12"/>
  <c r="V47" i="12"/>
  <c r="U47" i="12"/>
  <c r="S47" i="12"/>
  <c r="R47" i="12"/>
  <c r="N18" i="12"/>
  <c r="AD18" i="12"/>
  <c r="T20" i="12"/>
  <c r="K25" i="12"/>
  <c r="AA25" i="12"/>
  <c r="Q27" i="12"/>
  <c r="L28" i="12"/>
  <c r="AB28" i="12"/>
  <c r="AR28" i="12"/>
  <c r="G29" i="12"/>
  <c r="W29" i="12"/>
  <c r="R30" i="12"/>
  <c r="M31" i="12"/>
  <c r="AC31" i="12"/>
  <c r="T33" i="12"/>
  <c r="AN33" i="12"/>
  <c r="Y34" i="12"/>
  <c r="AR34" i="12"/>
  <c r="P36" i="12"/>
  <c r="G38" i="12"/>
  <c r="P41" i="12"/>
  <c r="AV41" i="12"/>
  <c r="AW44" i="12"/>
  <c r="E22" i="13"/>
  <c r="B26" i="14"/>
  <c r="H29" i="12"/>
  <c r="X29" i="12"/>
  <c r="S30" i="12"/>
  <c r="AO33" i="12"/>
  <c r="G34" i="12"/>
  <c r="Z34" i="12"/>
  <c r="AU34" i="12"/>
  <c r="K38" i="12"/>
  <c r="Q41" i="12"/>
  <c r="AW41" i="12"/>
  <c r="AY44" i="12"/>
  <c r="I29" i="12"/>
  <c r="Y29" i="12"/>
  <c r="T30" i="12"/>
  <c r="AP33" i="12"/>
  <c r="H34" i="12"/>
  <c r="AA34" i="12"/>
  <c r="AW34" i="12"/>
  <c r="M38" i="12"/>
  <c r="R41" i="12"/>
  <c r="AX41" i="12"/>
  <c r="AZ44" i="12"/>
  <c r="Q18" i="12"/>
  <c r="AW18" i="12"/>
  <c r="G20" i="12"/>
  <c r="W20" i="12"/>
  <c r="N25" i="12"/>
  <c r="T27" i="12"/>
  <c r="O28" i="12"/>
  <c r="J29" i="12"/>
  <c r="Z29" i="12"/>
  <c r="U30" i="12"/>
  <c r="P31" i="12"/>
  <c r="AV31" i="12"/>
  <c r="X33" i="12"/>
  <c r="AQ33" i="12"/>
  <c r="I34" i="12"/>
  <c r="AB34" i="12"/>
  <c r="AX34" i="12"/>
  <c r="V36" i="12"/>
  <c r="AZ36" i="12"/>
  <c r="T36" i="12"/>
  <c r="S36" i="12"/>
  <c r="U36" i="12"/>
  <c r="N38" i="12"/>
  <c r="S41" i="12"/>
  <c r="AY41" i="12"/>
  <c r="P47" i="12"/>
  <c r="K29" i="12"/>
  <c r="AA29" i="12"/>
  <c r="V30" i="12"/>
  <c r="Q31" i="12"/>
  <c r="J34" i="12"/>
  <c r="AY34" i="12"/>
  <c r="O38" i="12"/>
  <c r="T41" i="12"/>
  <c r="AZ41" i="12"/>
  <c r="O44" i="12"/>
  <c r="Q47" i="12"/>
  <c r="S18" i="12"/>
  <c r="AY18" i="12"/>
  <c r="I20" i="12"/>
  <c r="Y20" i="12"/>
  <c r="P25" i="12"/>
  <c r="V27" i="12"/>
  <c r="Q28" i="12"/>
  <c r="L29" i="12"/>
  <c r="AB29" i="12"/>
  <c r="G30" i="12"/>
  <c r="W30" i="12"/>
  <c r="R31" i="12"/>
  <c r="H33" i="12"/>
  <c r="Z33" i="12"/>
  <c r="AS33" i="12"/>
  <c r="K34" i="12"/>
  <c r="AZ34" i="12"/>
  <c r="X36" i="12"/>
  <c r="P38" i="12"/>
  <c r="AY40" i="12"/>
  <c r="U41" i="12"/>
  <c r="BA41" i="12"/>
  <c r="P44" i="12"/>
  <c r="T47" i="12"/>
  <c r="B19" i="14"/>
  <c r="T18" i="12"/>
  <c r="J20" i="12"/>
  <c r="Z20" i="12"/>
  <c r="Q25" i="12"/>
  <c r="G27" i="12"/>
  <c r="W27" i="12"/>
  <c r="R28" i="12"/>
  <c r="M29" i="12"/>
  <c r="AC29" i="12"/>
  <c r="H30" i="12"/>
  <c r="X30" i="12"/>
  <c r="S31" i="12"/>
  <c r="I33" i="12"/>
  <c r="AA33" i="12"/>
  <c r="AT33" i="12"/>
  <c r="L34" i="12"/>
  <c r="BA34" i="12"/>
  <c r="Y36" i="12"/>
  <c r="AR36" i="12"/>
  <c r="Q38" i="12"/>
  <c r="AD41" i="12"/>
  <c r="AN42" i="12"/>
  <c r="Q44" i="12"/>
  <c r="M8" i="13"/>
  <c r="D22" i="13"/>
  <c r="M45" i="12"/>
  <c r="AC45" i="12"/>
  <c r="P45" i="12"/>
  <c r="Q48" i="12"/>
  <c r="Q45" i="12"/>
  <c r="R48" i="12"/>
  <c r="AA40" i="12"/>
  <c r="Q42" i="12"/>
  <c r="AG42" i="12"/>
  <c r="AW42" i="12"/>
  <c r="R45" i="12"/>
  <c r="S48" i="12"/>
  <c r="B24" i="14"/>
  <c r="Q39" i="12"/>
  <c r="L40" i="12"/>
  <c r="AB40" i="12"/>
  <c r="R42" i="12"/>
  <c r="AH42" i="12"/>
  <c r="AX42" i="12"/>
  <c r="S45" i="12"/>
  <c r="T48" i="12"/>
  <c r="R39" i="12"/>
  <c r="M40" i="12"/>
  <c r="AC40" i="12"/>
  <c r="S42" i="12"/>
  <c r="AI42" i="12"/>
  <c r="AY42" i="12"/>
  <c r="T45" i="12"/>
  <c r="U48" i="12"/>
  <c r="I22" i="13"/>
  <c r="S39" i="12"/>
  <c r="AY39" i="12"/>
  <c r="N40" i="12"/>
  <c r="AD40" i="12"/>
  <c r="T42" i="12"/>
  <c r="AJ42" i="12"/>
  <c r="AZ42" i="12"/>
  <c r="U45" i="12"/>
  <c r="V48" i="12"/>
  <c r="J22" i="13"/>
  <c r="N37" i="12"/>
  <c r="T39" i="12"/>
  <c r="AZ39" i="12"/>
  <c r="O40" i="12"/>
  <c r="U42" i="12"/>
  <c r="AK42" i="12"/>
  <c r="P43" i="12"/>
  <c r="AF43" i="12"/>
  <c r="AV43" i="12"/>
  <c r="V45" i="12"/>
  <c r="Q46" i="12"/>
  <c r="G48" i="12"/>
  <c r="W48" i="12"/>
  <c r="O37" i="12"/>
  <c r="U39" i="12"/>
  <c r="BA39" i="12"/>
  <c r="P40" i="12"/>
  <c r="V42" i="12"/>
  <c r="AL42" i="12"/>
  <c r="Q43" i="12"/>
  <c r="AG43" i="12"/>
  <c r="AW43" i="12"/>
  <c r="G45" i="12"/>
  <c r="W45" i="12"/>
  <c r="R46" i="12"/>
  <c r="H48" i="12"/>
  <c r="X48" i="12"/>
  <c r="V39" i="12"/>
  <c r="Q40" i="12"/>
  <c r="AW40" i="12"/>
  <c r="G42" i="12"/>
  <c r="W42" i="12"/>
  <c r="AM42" i="12"/>
  <c r="H45" i="12"/>
  <c r="X45" i="12"/>
  <c r="I48" i="12"/>
  <c r="Y48" i="12"/>
  <c r="Q37" i="12"/>
  <c r="G39" i="12"/>
  <c r="W39" i="12"/>
  <c r="R40" i="12"/>
  <c r="H42" i="12"/>
  <c r="X42" i="12"/>
  <c r="S43" i="12"/>
  <c r="AI43" i="12"/>
  <c r="I45" i="12"/>
  <c r="Y45" i="12"/>
  <c r="T46" i="12"/>
  <c r="J48" i="12"/>
  <c r="Z48" i="12"/>
  <c r="G9" i="11" l="1"/>
  <c r="H9" i="11" s="1"/>
  <c r="AP8" i="12" s="1"/>
  <c r="G21" i="11"/>
  <c r="H21" i="11" s="1"/>
  <c r="AP11" i="12" s="1"/>
  <c r="AP44" i="12" s="1"/>
  <c r="AU28" i="12"/>
  <c r="AW28" i="12"/>
  <c r="AP28" i="12"/>
  <c r="AZ28" i="12"/>
  <c r="AM17" i="9"/>
  <c r="D17" i="10" s="1"/>
  <c r="AU46" i="12"/>
  <c r="AV46" i="12"/>
  <c r="AO16" i="9"/>
  <c r="F16" i="10" s="1"/>
  <c r="AN28" i="9"/>
  <c r="E28" i="10" s="1"/>
  <c r="AM14" i="9"/>
  <c r="D14" i="10" s="1"/>
  <c r="AT14" i="9"/>
  <c r="K14" i="10" s="1"/>
  <c r="AQ38" i="12"/>
  <c r="AN14" i="9"/>
  <c r="E14" i="10" s="1"/>
  <c r="AO28" i="9"/>
  <c r="F28" i="10" s="1"/>
  <c r="AQ14" i="9"/>
  <c r="H14" i="10" s="1"/>
  <c r="AN26" i="9"/>
  <c r="E26" i="10" s="1"/>
  <c r="AS38" i="9"/>
  <c r="J38" i="10" s="1"/>
  <c r="AM16" i="9"/>
  <c r="D16" i="10" s="1"/>
  <c r="AL22" i="12"/>
  <c r="AJ22" i="12"/>
  <c r="D11" i="12"/>
  <c r="D48" i="11"/>
  <c r="AP26" i="12"/>
  <c r="AY31" i="12"/>
  <c r="AU26" i="12"/>
  <c r="AX30" i="12"/>
  <c r="AT22" i="12"/>
  <c r="AT28" i="12"/>
  <c r="AE46" i="12"/>
  <c r="AY28" i="12"/>
  <c r="AW20" i="12"/>
  <c r="AV30" i="12"/>
  <c r="AZ30" i="12"/>
  <c r="AQ20" i="12"/>
  <c r="G10" i="11"/>
  <c r="H10" i="11" s="1"/>
  <c r="AV8" i="12" s="1"/>
  <c r="AV44" i="12" s="1"/>
  <c r="AT30" i="12"/>
  <c r="AE20" i="12"/>
  <c r="AM20" i="12"/>
  <c r="AL20" i="12"/>
  <c r="AU30" i="12"/>
  <c r="AZ20" i="12"/>
  <c r="AX20" i="12"/>
  <c r="AG20" i="12"/>
  <c r="AJ20" i="12"/>
  <c r="AH20" i="12"/>
  <c r="AO20" i="12"/>
  <c r="AP20" i="12"/>
  <c r="AI20" i="12"/>
  <c r="BA30" i="12"/>
  <c r="AN20" i="12"/>
  <c r="G20" i="11"/>
  <c r="H20" i="11" s="1"/>
  <c r="AJ11" i="12" s="1"/>
  <c r="AY30" i="12"/>
  <c r="AW30" i="12"/>
  <c r="AK20" i="12"/>
  <c r="AT19" i="9"/>
  <c r="K19" i="10" s="1"/>
  <c r="AQ22" i="9"/>
  <c r="H22" i="10" s="1"/>
  <c r="AQ27" i="9"/>
  <c r="H27" i="10" s="1"/>
  <c r="AT22" i="9"/>
  <c r="K22" i="10" s="1"/>
  <c r="AS22" i="9"/>
  <c r="J22" i="10" s="1"/>
  <c r="M21" i="10"/>
  <c r="N21" i="10" s="1"/>
  <c r="AR15" i="9"/>
  <c r="I15" i="10" s="1"/>
  <c r="AQ15" i="9"/>
  <c r="H15" i="10" s="1"/>
  <c r="AM27" i="9"/>
  <c r="D27" i="10" s="1"/>
  <c r="AP22" i="9"/>
  <c r="G22" i="10" s="1"/>
  <c r="M9" i="10"/>
  <c r="N9" i="10" s="1"/>
  <c r="AN22" i="9"/>
  <c r="E22" i="10" s="1"/>
  <c r="AO22" i="9"/>
  <c r="F22" i="10" s="1"/>
  <c r="AP17" i="9"/>
  <c r="G17" i="10" s="1"/>
  <c r="AU35" i="9"/>
  <c r="L35" i="10" s="1"/>
  <c r="AP15" i="9"/>
  <c r="G15" i="10" s="1"/>
  <c r="AO15" i="9"/>
  <c r="F15" i="10" s="1"/>
  <c r="AO27" i="9"/>
  <c r="F27" i="10" s="1"/>
  <c r="AQ19" i="9"/>
  <c r="H19" i="10" s="1"/>
  <c r="AO30" i="9"/>
  <c r="F67" i="10" s="1"/>
  <c r="AS18" i="9"/>
  <c r="J18" i="10" s="1"/>
  <c r="AR28" i="9"/>
  <c r="I28" i="10" s="1"/>
  <c r="AU26" i="9"/>
  <c r="L26" i="10" s="1"/>
  <c r="AU17" i="9"/>
  <c r="L17" i="10" s="1"/>
  <c r="AS26" i="9"/>
  <c r="J26" i="10" s="1"/>
  <c r="AQ30" i="9"/>
  <c r="H67" i="10" s="1"/>
  <c r="M12" i="10"/>
  <c r="N12" i="10" s="1"/>
  <c r="AP27" i="9"/>
  <c r="G27" i="10" s="1"/>
  <c r="AS28" i="9"/>
  <c r="J28" i="10" s="1"/>
  <c r="AP38" i="9"/>
  <c r="G38" i="10" s="1"/>
  <c r="AU19" i="9"/>
  <c r="L19" i="10" s="1"/>
  <c r="AP35" i="9"/>
  <c r="G35" i="10" s="1"/>
  <c r="M23" i="10"/>
  <c r="N23" i="10" s="1"/>
  <c r="AS37" i="9"/>
  <c r="J37" i="10" s="1"/>
  <c r="AT17" i="9"/>
  <c r="K17" i="10" s="1"/>
  <c r="AP16" i="9"/>
  <c r="G16" i="10" s="1"/>
  <c r="AU27" i="9"/>
  <c r="L27" i="10" s="1"/>
  <c r="AT26" i="9"/>
  <c r="K26" i="10" s="1"/>
  <c r="AN37" i="9"/>
  <c r="E37" i="10" s="1"/>
  <c r="AM28" i="9"/>
  <c r="D28" i="10" s="1"/>
  <c r="AO37" i="9"/>
  <c r="F37" i="10" s="1"/>
  <c r="AS30" i="9"/>
  <c r="J67" i="10" s="1"/>
  <c r="AX28" i="12"/>
  <c r="AY36" i="12"/>
  <c r="AW26" i="12"/>
  <c r="AX26" i="12"/>
  <c r="AU22" i="12"/>
  <c r="AZ17" i="12"/>
  <c r="AQ26" i="12"/>
  <c r="AY26" i="12"/>
  <c r="AQ28" i="12"/>
  <c r="AW17" i="12"/>
  <c r="AS28" i="12"/>
  <c r="AZ26" i="12"/>
  <c r="AR26" i="12"/>
  <c r="AX17" i="12"/>
  <c r="AY17" i="12"/>
  <c r="AM22" i="12"/>
  <c r="AV28" i="12"/>
  <c r="AF20" i="12"/>
  <c r="AN41" i="12"/>
  <c r="AO41" i="12"/>
  <c r="AJ21" i="12"/>
  <c r="AX31" i="12"/>
  <c r="AY29" i="12"/>
  <c r="AW29" i="12"/>
  <c r="AW25" i="12"/>
  <c r="AM23" i="12"/>
  <c r="AK23" i="12"/>
  <c r="AT31" i="12"/>
  <c r="AS31" i="12"/>
  <c r="AI21" i="12"/>
  <c r="BA23" i="12"/>
  <c r="AX25" i="12"/>
  <c r="D51" i="11"/>
  <c r="E51" i="11" s="1"/>
  <c r="F51" i="11" s="1"/>
  <c r="AP31" i="12"/>
  <c r="AT23" i="12"/>
  <c r="AR23" i="12"/>
  <c r="D52" i="11"/>
  <c r="E52" i="11" s="1"/>
  <c r="F52" i="11" s="1"/>
  <c r="AN23" i="12"/>
  <c r="AY25" i="12"/>
  <c r="AD21" i="12"/>
  <c r="AU35" i="12"/>
  <c r="AT25" i="12"/>
  <c r="AR31" i="12"/>
  <c r="AP22" i="12"/>
  <c r="AY21" i="12"/>
  <c r="AP25" i="12"/>
  <c r="AQ31" i="12"/>
  <c r="AZ29" i="12"/>
  <c r="AO23" i="12"/>
  <c r="AR25" i="12"/>
  <c r="AL23" i="12"/>
  <c r="AY23" i="12"/>
  <c r="AJ23" i="12"/>
  <c r="AS25" i="12"/>
  <c r="AV25" i="12"/>
  <c r="AW31" i="12"/>
  <c r="BA25" i="12"/>
  <c r="AZ25" i="12"/>
  <c r="AU25" i="12"/>
  <c r="AG21" i="12"/>
  <c r="AW23" i="12"/>
  <c r="BA42" i="12"/>
  <c r="BA31" i="12"/>
  <c r="AF21" i="12"/>
  <c r="AX23" i="12"/>
  <c r="G8" i="11"/>
  <c r="H8" i="11" s="1"/>
  <c r="AJ8" i="12" s="1"/>
  <c r="AI31" i="12"/>
  <c r="AH31" i="12"/>
  <c r="AK31" i="12"/>
  <c r="AG31" i="12"/>
  <c r="AX21" i="12"/>
  <c r="J14" i="12"/>
  <c r="AZ21" i="12"/>
  <c r="Z49" i="12"/>
  <c r="BA21" i="12"/>
  <c r="I14" i="12"/>
  <c r="S14" i="12"/>
  <c r="N14" i="12"/>
  <c r="N52" i="12" s="1"/>
  <c r="AS20" i="12"/>
  <c r="AV22" i="12"/>
  <c r="AE21" i="12"/>
  <c r="AE34" i="12"/>
  <c r="AF34" i="12"/>
  <c r="AG34" i="12"/>
  <c r="AH34" i="12"/>
  <c r="AD34" i="12"/>
  <c r="M11" i="10"/>
  <c r="N11" i="10" s="1"/>
  <c r="AL26" i="12"/>
  <c r="AM26" i="12"/>
  <c r="AJ26" i="12"/>
  <c r="AI26" i="12"/>
  <c r="AO26" i="12"/>
  <c r="AH26" i="12"/>
  <c r="AN26" i="12"/>
  <c r="AE22" i="12"/>
  <c r="AD22" i="12"/>
  <c r="AI22" i="12"/>
  <c r="AF22" i="12"/>
  <c r="AG22" i="12"/>
  <c r="AH22" i="12"/>
  <c r="AY27" i="12"/>
  <c r="AX27" i="12"/>
  <c r="AQ27" i="12"/>
  <c r="AV27" i="12"/>
  <c r="AR27" i="12"/>
  <c r="AP27" i="12"/>
  <c r="C25" i="12"/>
  <c r="L52" i="10"/>
  <c r="I52" i="10"/>
  <c r="G52" i="10"/>
  <c r="F52" i="10"/>
  <c r="D52" i="10"/>
  <c r="I15" i="9"/>
  <c r="D25" i="12" s="1"/>
  <c r="AL25" i="12" s="1"/>
  <c r="C36" i="12"/>
  <c r="D63" i="10"/>
  <c r="G63" i="10"/>
  <c r="E63" i="10"/>
  <c r="K63" i="10"/>
  <c r="I63" i="10"/>
  <c r="I26" i="9"/>
  <c r="D36" i="12" s="1"/>
  <c r="AF46" i="12"/>
  <c r="AF31" i="12"/>
  <c r="M32" i="10"/>
  <c r="N32" i="10" s="1"/>
  <c r="C35" i="14"/>
  <c r="C40" i="12"/>
  <c r="L67" i="10"/>
  <c r="G67" i="10"/>
  <c r="D67" i="10"/>
  <c r="E67" i="10"/>
  <c r="I67" i="10"/>
  <c r="K67" i="10"/>
  <c r="M31" i="10"/>
  <c r="N31" i="10" s="1"/>
  <c r="C30" i="12"/>
  <c r="H57" i="10"/>
  <c r="L57" i="10"/>
  <c r="K57" i="10"/>
  <c r="J57" i="10"/>
  <c r="I57" i="10"/>
  <c r="F57" i="10"/>
  <c r="D57" i="10"/>
  <c r="G57" i="10"/>
  <c r="E57" i="10"/>
  <c r="AZ31" i="12"/>
  <c r="AN31" i="12"/>
  <c r="AL31" i="12"/>
  <c r="AJ31" i="12"/>
  <c r="C43" i="12"/>
  <c r="C37" i="14"/>
  <c r="J70" i="10"/>
  <c r="L70" i="10"/>
  <c r="K70" i="10"/>
  <c r="I70" i="10"/>
  <c r="H70" i="10"/>
  <c r="F70" i="10"/>
  <c r="D70" i="10"/>
  <c r="G70" i="10"/>
  <c r="E70" i="10"/>
  <c r="I33" i="9"/>
  <c r="D43" i="12" s="1"/>
  <c r="BA43" i="12" s="1"/>
  <c r="D54" i="11"/>
  <c r="E54" i="11" s="1"/>
  <c r="F54" i="11" s="1"/>
  <c r="M14" i="12"/>
  <c r="T14" i="12"/>
  <c r="AO26" i="9"/>
  <c r="F26" i="10" s="1"/>
  <c r="AT25" i="9"/>
  <c r="K25" i="10" s="1"/>
  <c r="AN17" i="9"/>
  <c r="E17" i="10" s="1"/>
  <c r="AN29" i="9"/>
  <c r="E29" i="10" s="1"/>
  <c r="AR17" i="9"/>
  <c r="I17" i="10" s="1"/>
  <c r="AX38" i="12"/>
  <c r="AU38" i="12"/>
  <c r="AV38" i="12"/>
  <c r="AT38" i="12"/>
  <c r="AR38" i="12"/>
  <c r="AP41" i="12"/>
  <c r="G49" i="12"/>
  <c r="AV35" i="12"/>
  <c r="AQ35" i="12"/>
  <c r="C29" i="12"/>
  <c r="K56" i="10"/>
  <c r="J56" i="10"/>
  <c r="H56" i="10"/>
  <c r="I19" i="9"/>
  <c r="D29" i="12" s="1"/>
  <c r="AS29" i="12" s="1"/>
  <c r="D55" i="11"/>
  <c r="E55" i="11" s="1"/>
  <c r="F55" i="11" s="1"/>
  <c r="AD12" i="12"/>
  <c r="C34" i="14"/>
  <c r="C37" i="12"/>
  <c r="F64" i="10"/>
  <c r="J64" i="10"/>
  <c r="H64" i="10"/>
  <c r="G64" i="10"/>
  <c r="D64" i="10"/>
  <c r="L64" i="10"/>
  <c r="J49" i="12"/>
  <c r="N49" i="12"/>
  <c r="Q14" i="12"/>
  <c r="W14" i="12"/>
  <c r="C35" i="12"/>
  <c r="L62" i="10"/>
  <c r="AO38" i="9"/>
  <c r="F38" i="10" s="1"/>
  <c r="AS15" i="9"/>
  <c r="J15" i="10" s="1"/>
  <c r="AN38" i="9"/>
  <c r="E38" i="10" s="1"/>
  <c r="AI46" i="12"/>
  <c r="AE31" i="12"/>
  <c r="AS38" i="12"/>
  <c r="AL38" i="12"/>
  <c r="AY46" i="12"/>
  <c r="AG38" i="12"/>
  <c r="C41" i="12"/>
  <c r="I68" i="10"/>
  <c r="F68" i="10"/>
  <c r="K68" i="10"/>
  <c r="J68" i="10"/>
  <c r="H68" i="10"/>
  <c r="G68" i="10"/>
  <c r="E68" i="10"/>
  <c r="D68" i="10"/>
  <c r="J31" i="9"/>
  <c r="L68" i="10"/>
  <c r="AX29" i="12"/>
  <c r="B40" i="12"/>
  <c r="B49" i="12" s="1"/>
  <c r="B35" i="14"/>
  <c r="G30" i="10"/>
  <c r="K30" i="10"/>
  <c r="J30" i="10"/>
  <c r="I30" i="10"/>
  <c r="E30" i="10"/>
  <c r="D30" i="10"/>
  <c r="I30" i="9"/>
  <c r="D40" i="12" s="1"/>
  <c r="L30" i="10"/>
  <c r="M33" i="10"/>
  <c r="N33" i="10" s="1"/>
  <c r="AP25" i="9"/>
  <c r="G25" i="10" s="1"/>
  <c r="AU37" i="9"/>
  <c r="L37" i="10" s="1"/>
  <c r="I27" i="9"/>
  <c r="D37" i="12" s="1"/>
  <c r="AN37" i="12" s="1"/>
  <c r="AN43" i="12"/>
  <c r="AK43" i="12"/>
  <c r="M49" i="12"/>
  <c r="R14" i="12"/>
  <c r="H14" i="12"/>
  <c r="AY32" i="12"/>
  <c r="AW32" i="12"/>
  <c r="AU32" i="12"/>
  <c r="AT35" i="9"/>
  <c r="K35" i="10" s="1"/>
  <c r="C19" i="12"/>
  <c r="L46" i="10"/>
  <c r="K46" i="10"/>
  <c r="J46" i="10"/>
  <c r="I46" i="10"/>
  <c r="H46" i="10"/>
  <c r="G46" i="10"/>
  <c r="F46" i="10"/>
  <c r="D46" i="10"/>
  <c r="E46" i="10"/>
  <c r="I9" i="9"/>
  <c r="D19" i="12" s="1"/>
  <c r="AV19" i="12" s="1"/>
  <c r="AN15" i="9"/>
  <c r="E15" i="10" s="1"/>
  <c r="Q49" i="12"/>
  <c r="AT41" i="12"/>
  <c r="AM38" i="12"/>
  <c r="AM31" i="12"/>
  <c r="S49" i="12"/>
  <c r="C33" i="14"/>
  <c r="C24" i="12"/>
  <c r="L51" i="10"/>
  <c r="K51" i="10"/>
  <c r="J51" i="10"/>
  <c r="I51" i="10"/>
  <c r="H51" i="10"/>
  <c r="G51" i="10"/>
  <c r="F51" i="10"/>
  <c r="E51" i="10"/>
  <c r="D51" i="10"/>
  <c r="I14" i="9"/>
  <c r="D24" i="12" s="1"/>
  <c r="AQ25" i="9"/>
  <c r="H25" i="10" s="1"/>
  <c r="C23" i="12"/>
  <c r="J50" i="10"/>
  <c r="L50" i="10"/>
  <c r="K50" i="10"/>
  <c r="I50" i="10"/>
  <c r="H50" i="10"/>
  <c r="G50" i="10"/>
  <c r="F50" i="10"/>
  <c r="E50" i="10"/>
  <c r="D50" i="10"/>
  <c r="AM38" i="9"/>
  <c r="D38" i="10" s="1"/>
  <c r="AP19" i="9"/>
  <c r="G19" i="10" s="1"/>
  <c r="R49" i="12"/>
  <c r="AK34" i="12"/>
  <c r="AI34" i="12"/>
  <c r="U14" i="12"/>
  <c r="X14" i="12"/>
  <c r="AM19" i="9"/>
  <c r="D19" i="10" s="1"/>
  <c r="AQ28" i="9"/>
  <c r="H28" i="10" s="1"/>
  <c r="AN19" i="9"/>
  <c r="E19" i="10" s="1"/>
  <c r="C47" i="12"/>
  <c r="E74" i="10"/>
  <c r="K74" i="10"/>
  <c r="F74" i="10"/>
  <c r="I37" i="9"/>
  <c r="D47" i="12" s="1"/>
  <c r="AV47" i="12" s="1"/>
  <c r="AX46" i="12"/>
  <c r="AD31" i="12"/>
  <c r="AU41" i="12"/>
  <c r="AU27" i="12"/>
  <c r="AK41" i="12"/>
  <c r="AQ41" i="12"/>
  <c r="T49" i="12"/>
  <c r="AW35" i="12"/>
  <c r="AS23" i="12"/>
  <c r="AZ23" i="12"/>
  <c r="AV23" i="12"/>
  <c r="AU23" i="12"/>
  <c r="AO22" i="12"/>
  <c r="AZ22" i="12"/>
  <c r="AY22" i="12"/>
  <c r="AX22" i="12"/>
  <c r="AW22" i="12"/>
  <c r="AR22" i="12"/>
  <c r="M20" i="10"/>
  <c r="N20" i="10" s="1"/>
  <c r="AP37" i="9"/>
  <c r="G37" i="10" s="1"/>
  <c r="AP36" i="12"/>
  <c r="AX36" i="12"/>
  <c r="AW36" i="12"/>
  <c r="AV36" i="12"/>
  <c r="AT36" i="12"/>
  <c r="AU36" i="12"/>
  <c r="AS36" i="12"/>
  <c r="AM35" i="9"/>
  <c r="D35" i="10" s="1"/>
  <c r="AQ18" i="9"/>
  <c r="H18" i="10" s="1"/>
  <c r="AM33" i="12"/>
  <c r="AZ33" i="12"/>
  <c r="AV33" i="12"/>
  <c r="AW33" i="12"/>
  <c r="AU33" i="12"/>
  <c r="V14" i="12"/>
  <c r="AO18" i="9"/>
  <c r="F18" i="10" s="1"/>
  <c r="AM18" i="9"/>
  <c r="D18" i="10" s="1"/>
  <c r="AQ36" i="9"/>
  <c r="H36" i="10" s="1"/>
  <c r="M36" i="10" s="1"/>
  <c r="N36" i="10" s="1"/>
  <c r="AN27" i="9"/>
  <c r="E27" i="10" s="1"/>
  <c r="AO31" i="12"/>
  <c r="AL41" i="12"/>
  <c r="BA27" i="12"/>
  <c r="M10" i="10"/>
  <c r="N10" i="10" s="1"/>
  <c r="L49" i="12"/>
  <c r="AO19" i="9"/>
  <c r="F19" i="10" s="1"/>
  <c r="Y14" i="12"/>
  <c r="AS16" i="9"/>
  <c r="J16" i="10" s="1"/>
  <c r="AQ16" i="9"/>
  <c r="H16" i="10" s="1"/>
  <c r="AS35" i="9"/>
  <c r="J35" i="10" s="1"/>
  <c r="AQ37" i="9"/>
  <c r="H37" i="10" s="1"/>
  <c r="AN35" i="9"/>
  <c r="E35" i="10" s="1"/>
  <c r="AH46" i="12"/>
  <c r="AN46" i="12"/>
  <c r="AW27" i="12"/>
  <c r="BA38" i="12"/>
  <c r="AZ38" i="12"/>
  <c r="AN38" i="12"/>
  <c r="H49" i="12"/>
  <c r="C18" i="12"/>
  <c r="L45" i="10"/>
  <c r="K45" i="10"/>
  <c r="J45" i="10"/>
  <c r="I45" i="10"/>
  <c r="H45" i="10"/>
  <c r="G45" i="10"/>
  <c r="F45" i="10"/>
  <c r="E45" i="10"/>
  <c r="D45" i="10"/>
  <c r="C31" i="12"/>
  <c r="J58" i="10"/>
  <c r="E58" i="10"/>
  <c r="D58" i="10"/>
  <c r="L58" i="10"/>
  <c r="I58" i="10"/>
  <c r="G58" i="10"/>
  <c r="F58" i="10"/>
  <c r="K58" i="10"/>
  <c r="H58" i="10"/>
  <c r="J21" i="9"/>
  <c r="M13" i="10"/>
  <c r="N13" i="10" s="1"/>
  <c r="H49" i="10"/>
  <c r="C22" i="12"/>
  <c r="I49" i="10"/>
  <c r="G49" i="10"/>
  <c r="F49" i="10"/>
  <c r="E49" i="10"/>
  <c r="D49" i="10"/>
  <c r="K49" i="10"/>
  <c r="J49" i="10"/>
  <c r="J12" i="9"/>
  <c r="L49" i="10"/>
  <c r="C27" i="12"/>
  <c r="E54" i="10"/>
  <c r="D54" i="10"/>
  <c r="H54" i="10"/>
  <c r="K54" i="10"/>
  <c r="AP18" i="9"/>
  <c r="G18" i="10" s="1"/>
  <c r="Z14" i="12"/>
  <c r="AT15" i="9"/>
  <c r="K15" i="10" s="1"/>
  <c r="C33" i="12"/>
  <c r="F60" i="10"/>
  <c r="L60" i="10"/>
  <c r="K60" i="10"/>
  <c r="J60" i="10"/>
  <c r="I60" i="10"/>
  <c r="H60" i="10"/>
  <c r="G60" i="10"/>
  <c r="E60" i="10"/>
  <c r="D60" i="10"/>
  <c r="I23" i="9"/>
  <c r="D33" i="12" s="1"/>
  <c r="AF33" i="12" s="1"/>
  <c r="C39" i="12"/>
  <c r="J66" i="10"/>
  <c r="L66" i="10"/>
  <c r="K66" i="10"/>
  <c r="I66" i="10"/>
  <c r="H66" i="10"/>
  <c r="G66" i="10"/>
  <c r="F66" i="10"/>
  <c r="I29" i="9"/>
  <c r="D39" i="12" s="1"/>
  <c r="AE39" i="12" s="1"/>
  <c r="AP46" i="12"/>
  <c r="AK38" i="12"/>
  <c r="AZ46" i="12"/>
  <c r="AE38" i="12"/>
  <c r="AD38" i="12"/>
  <c r="AR41" i="12"/>
  <c r="X49" i="12"/>
  <c r="AX35" i="12"/>
  <c r="C24" i="15"/>
  <c r="E24" i="15" s="1"/>
  <c r="G24" i="15" s="1"/>
  <c r="AP30" i="12"/>
  <c r="AS30" i="12"/>
  <c r="AQ30" i="12"/>
  <c r="M8" i="10"/>
  <c r="N8" i="10" s="1"/>
  <c r="AO25" i="9"/>
  <c r="F25" i="10" s="1"/>
  <c r="C32" i="14"/>
  <c r="C17" i="12"/>
  <c r="K44" i="10"/>
  <c r="J44" i="10"/>
  <c r="I44" i="10"/>
  <c r="H44" i="10"/>
  <c r="G44" i="10"/>
  <c r="F44" i="10"/>
  <c r="E44" i="10"/>
  <c r="D44" i="10"/>
  <c r="L44" i="10"/>
  <c r="J7" i="9"/>
  <c r="H40" i="9"/>
  <c r="I11" i="14" s="1"/>
  <c r="C9" i="15"/>
  <c r="E9" i="15" s="1"/>
  <c r="G9" i="15" s="1"/>
  <c r="AW21" i="12"/>
  <c r="M34" i="10"/>
  <c r="N34" i="10" s="1"/>
  <c r="AR19" i="9"/>
  <c r="I19" i="10" s="1"/>
  <c r="AM25" i="9"/>
  <c r="D25" i="10" s="1"/>
  <c r="BA26" i="12"/>
  <c r="AV26" i="12"/>
  <c r="AK26" i="12"/>
  <c r="AG26" i="12"/>
  <c r="AF26" i="12"/>
  <c r="AE26" i="12"/>
  <c r="AD26" i="12"/>
  <c r="AR37" i="9"/>
  <c r="I37" i="10" s="1"/>
  <c r="AC49" i="12"/>
  <c r="AS17" i="9"/>
  <c r="J17" i="10" s="1"/>
  <c r="AC14" i="12"/>
  <c r="AU28" i="9"/>
  <c r="L28" i="10" s="1"/>
  <c r="AQ38" i="9"/>
  <c r="H38" i="10" s="1"/>
  <c r="AT38" i="9"/>
  <c r="K38" i="10" s="1"/>
  <c r="D26" i="13"/>
  <c r="M26" i="13" s="1"/>
  <c r="M24" i="13"/>
  <c r="C45" i="12"/>
  <c r="C38" i="14"/>
  <c r="F72" i="10"/>
  <c r="I72" i="10"/>
  <c r="G72" i="10"/>
  <c r="L72" i="10"/>
  <c r="I35" i="9"/>
  <c r="D45" i="12" s="1"/>
  <c r="AT45" i="12" s="1"/>
  <c r="M24" i="10"/>
  <c r="N24" i="10" s="1"/>
  <c r="AJ46" i="12"/>
  <c r="AQ46" i="12"/>
  <c r="AF38" i="12"/>
  <c r="AM41" i="12"/>
  <c r="V49" i="12"/>
  <c r="U49" i="12"/>
  <c r="AP35" i="12"/>
  <c r="AP23" i="12"/>
  <c r="AS22" i="12"/>
  <c r="AN16" i="9"/>
  <c r="E16" i="10" s="1"/>
  <c r="I8" i="9"/>
  <c r="D18" i="12" s="1"/>
  <c r="I13" i="9"/>
  <c r="D23" i="12" s="1"/>
  <c r="AH23" i="12" s="1"/>
  <c r="G19" i="11"/>
  <c r="H19" i="11" s="1"/>
  <c r="B14" i="12"/>
  <c r="D8" i="12"/>
  <c r="D14" i="12" s="1"/>
  <c r="AT18" i="9"/>
  <c r="K18" i="10" s="1"/>
  <c r="AM29" i="9"/>
  <c r="D29" i="10" s="1"/>
  <c r="M29" i="10" s="1"/>
  <c r="N29" i="10" s="1"/>
  <c r="AR18" i="9"/>
  <c r="I18" i="10" s="1"/>
  <c r="AU16" i="9"/>
  <c r="L16" i="10" s="1"/>
  <c r="K14" i="12"/>
  <c r="AR27" i="9"/>
  <c r="I27" i="10" s="1"/>
  <c r="E48" i="11"/>
  <c r="AD9" i="12"/>
  <c r="AT16" i="9"/>
  <c r="K16" i="10" s="1"/>
  <c r="I25" i="9"/>
  <c r="D35" i="12" s="1"/>
  <c r="AO35" i="12" s="1"/>
  <c r="C14" i="12"/>
  <c r="AM46" i="12"/>
  <c r="AR46" i="12"/>
  <c r="AO38" i="12"/>
  <c r="I49" i="12"/>
  <c r="I17" i="9"/>
  <c r="D27" i="12" s="1"/>
  <c r="AG27" i="12" s="1"/>
  <c r="AM37" i="9"/>
  <c r="D37" i="10" s="1"/>
  <c r="AZ37" i="12"/>
  <c r="BA37" i="12"/>
  <c r="AY37" i="12"/>
  <c r="AR22" i="9"/>
  <c r="I22" i="10" s="1"/>
  <c r="C44" i="12"/>
  <c r="D71" i="10"/>
  <c r="L71" i="10"/>
  <c r="G71" i="10"/>
  <c r="F71" i="10"/>
  <c r="E71" i="10"/>
  <c r="K71" i="10"/>
  <c r="I71" i="10"/>
  <c r="I34" i="9"/>
  <c r="D44" i="12" s="1"/>
  <c r="H71" i="10"/>
  <c r="J71" i="10"/>
  <c r="C26" i="12"/>
  <c r="H53" i="10"/>
  <c r="D53" i="10"/>
  <c r="I53" i="10"/>
  <c r="F53" i="10"/>
  <c r="J16" i="9"/>
  <c r="AA14" i="12"/>
  <c r="AQ26" i="9"/>
  <c r="H26" i="10" s="1"/>
  <c r="AS46" i="12"/>
  <c r="AZ27" i="12"/>
  <c r="AI38" i="12"/>
  <c r="AS41" i="12"/>
  <c r="AR35" i="12"/>
  <c r="Y49" i="12"/>
  <c r="AS35" i="12"/>
  <c r="AR25" i="9"/>
  <c r="I25" i="10" s="1"/>
  <c r="D53" i="11"/>
  <c r="E53" i="11" s="1"/>
  <c r="F53" i="11" s="1"/>
  <c r="AM22" i="9"/>
  <c r="D22" i="10" s="1"/>
  <c r="AU18" i="9"/>
  <c r="L18" i="10" s="1"/>
  <c r="AD8" i="12"/>
  <c r="AI41" i="12"/>
  <c r="AG41" i="12"/>
  <c r="AE41" i="12"/>
  <c r="C48" i="12"/>
  <c r="L75" i="10"/>
  <c r="G75" i="10"/>
  <c r="I75" i="10"/>
  <c r="I38" i="9"/>
  <c r="D48" i="12" s="1"/>
  <c r="J75" i="10"/>
  <c r="K49" i="12"/>
  <c r="L14" i="12"/>
  <c r="AS25" i="9"/>
  <c r="J25" i="10" s="1"/>
  <c r="M25" i="13"/>
  <c r="M14" i="10"/>
  <c r="N14" i="10" s="1"/>
  <c r="M7" i="10"/>
  <c r="AW46" i="12"/>
  <c r="AD46" i="12"/>
  <c r="AT27" i="12"/>
  <c r="AO46" i="12"/>
  <c r="D17" i="12"/>
  <c r="AN25" i="9"/>
  <c r="E25" i="10" s="1"/>
  <c r="I20" i="9"/>
  <c r="D30" i="12" s="1"/>
  <c r="AO30" i="12" s="1"/>
  <c r="D55" i="10"/>
  <c r="C28" i="12"/>
  <c r="K55" i="10"/>
  <c r="J55" i="10"/>
  <c r="E55" i="10"/>
  <c r="I18" i="9"/>
  <c r="D28" i="12" s="1"/>
  <c r="C38" i="12"/>
  <c r="H65" i="10"/>
  <c r="K65" i="10"/>
  <c r="J65" i="10"/>
  <c r="I65" i="10"/>
  <c r="G65" i="10"/>
  <c r="E65" i="10"/>
  <c r="J28" i="9"/>
  <c r="O49" i="12"/>
  <c r="AB14" i="12"/>
  <c r="D49" i="11"/>
  <c r="E49" i="11" s="1"/>
  <c r="F49" i="11" s="1"/>
  <c r="G14" i="12"/>
  <c r="AG46" i="12"/>
  <c r="M22" i="13"/>
  <c r="C25" i="15"/>
  <c r="E25" i="15" s="1"/>
  <c r="G25" i="15" s="1"/>
  <c r="A6" i="14"/>
  <c r="AT46" i="12"/>
  <c r="AJ38" i="12"/>
  <c r="AH38" i="12"/>
  <c r="AP38" i="12"/>
  <c r="AB49" i="12"/>
  <c r="W49" i="12"/>
  <c r="AT35" i="12"/>
  <c r="AQ35" i="9"/>
  <c r="H35" i="10" s="1"/>
  <c r="AP14" i="12"/>
  <c r="F48" i="10"/>
  <c r="C21" i="12"/>
  <c r="E48" i="10"/>
  <c r="D48" i="10"/>
  <c r="L48" i="10"/>
  <c r="J48" i="10"/>
  <c r="H48" i="10"/>
  <c r="G48" i="10"/>
  <c r="I11" i="9"/>
  <c r="D21" i="12" s="1"/>
  <c r="AN21" i="12" s="1"/>
  <c r="K48" i="10"/>
  <c r="I48" i="10"/>
  <c r="AU42" i="12"/>
  <c r="AE42" i="12"/>
  <c r="AR42" i="12"/>
  <c r="AF42" i="12"/>
  <c r="AD42" i="12"/>
  <c r="AV42" i="12"/>
  <c r="AT42" i="12"/>
  <c r="AS42" i="12"/>
  <c r="AP42" i="12"/>
  <c r="AQ42" i="12"/>
  <c r="AO42" i="12"/>
  <c r="C42" i="12"/>
  <c r="C36" i="14"/>
  <c r="K69" i="10"/>
  <c r="H69" i="10"/>
  <c r="L69" i="10"/>
  <c r="J69" i="10"/>
  <c r="J32" i="9"/>
  <c r="I69" i="10"/>
  <c r="G69" i="10"/>
  <c r="F69" i="10"/>
  <c r="E69" i="10"/>
  <c r="D69" i="10"/>
  <c r="D47" i="10"/>
  <c r="C20" i="12"/>
  <c r="L47" i="10"/>
  <c r="K47" i="10"/>
  <c r="J47" i="10"/>
  <c r="I47" i="10"/>
  <c r="G47" i="10"/>
  <c r="E47" i="10"/>
  <c r="H47" i="10"/>
  <c r="F47" i="10"/>
  <c r="J10" i="9"/>
  <c r="O14" i="12"/>
  <c r="AA49" i="12"/>
  <c r="P49" i="12"/>
  <c r="AZ35" i="12"/>
  <c r="G40" i="9"/>
  <c r="C34" i="12"/>
  <c r="H61" i="10"/>
  <c r="L61" i="10"/>
  <c r="K61" i="10"/>
  <c r="J61" i="10"/>
  <c r="I61" i="10"/>
  <c r="G61" i="10"/>
  <c r="F61" i="10"/>
  <c r="D61" i="10"/>
  <c r="E61" i="10"/>
  <c r="J24" i="9"/>
  <c r="AV14" i="12"/>
  <c r="AR20" i="12"/>
  <c r="BA20" i="12"/>
  <c r="AY20" i="12"/>
  <c r="AV20" i="12"/>
  <c r="AU20" i="12"/>
  <c r="AT20" i="12"/>
  <c r="BA46" i="12"/>
  <c r="AL46" i="12"/>
  <c r="AK46" i="12"/>
  <c r="AT27" i="9"/>
  <c r="K27" i="10" s="1"/>
  <c r="C46" i="12"/>
  <c r="L73" i="10"/>
  <c r="K73" i="10"/>
  <c r="J73" i="10"/>
  <c r="J36" i="9"/>
  <c r="I73" i="10"/>
  <c r="G73" i="10"/>
  <c r="F73" i="10"/>
  <c r="E73" i="10"/>
  <c r="D73" i="10"/>
  <c r="BA19" i="12"/>
  <c r="AZ19" i="12"/>
  <c r="P14" i="12"/>
  <c r="L59" i="10"/>
  <c r="C32" i="12"/>
  <c r="H59" i="10"/>
  <c r="G59" i="10"/>
  <c r="F59" i="10"/>
  <c r="E59" i="10"/>
  <c r="J59" i="10"/>
  <c r="I22" i="9"/>
  <c r="D32" i="12" s="1"/>
  <c r="AI32" i="12" s="1"/>
  <c r="AO17" i="9"/>
  <c r="F17" i="10" s="1"/>
  <c r="AJ44" i="12" l="1"/>
  <c r="F55" i="10"/>
  <c r="L54" i="10"/>
  <c r="L74" i="10"/>
  <c r="K59" i="10"/>
  <c r="J74" i="10"/>
  <c r="D65" i="10"/>
  <c r="F65" i="10"/>
  <c r="I59" i="10"/>
  <c r="F30" i="10"/>
  <c r="G53" i="10"/>
  <c r="H30" i="10"/>
  <c r="J53" i="10"/>
  <c r="E52" i="10"/>
  <c r="H52" i="10"/>
  <c r="K75" i="10"/>
  <c r="M16" i="10"/>
  <c r="N16" i="10" s="1"/>
  <c r="H62" i="10"/>
  <c r="M28" i="10"/>
  <c r="N28" i="10" s="1"/>
  <c r="K62" i="10"/>
  <c r="AH37" i="12"/>
  <c r="J52" i="12"/>
  <c r="AE45" i="12"/>
  <c r="Z52" i="12"/>
  <c r="I52" i="12"/>
  <c r="AD27" i="12"/>
  <c r="G54" i="10"/>
  <c r="J54" i="10"/>
  <c r="E66" i="10"/>
  <c r="M22" i="10"/>
  <c r="N22" i="10" s="1"/>
  <c r="L52" i="12"/>
  <c r="J63" i="10"/>
  <c r="E75" i="10"/>
  <c r="I54" i="10"/>
  <c r="L56" i="10"/>
  <c r="J72" i="10"/>
  <c r="L63" i="10"/>
  <c r="K64" i="10"/>
  <c r="F75" i="10"/>
  <c r="I62" i="10"/>
  <c r="M27" i="10"/>
  <c r="N27" i="10" s="1"/>
  <c r="H72" i="10"/>
  <c r="AJ14" i="12"/>
  <c r="D56" i="10"/>
  <c r="M15" i="10"/>
  <c r="N15" i="10" s="1"/>
  <c r="M17" i="10"/>
  <c r="N17" i="10" s="1"/>
  <c r="J52" i="10"/>
  <c r="M26" i="10"/>
  <c r="N26" i="10" s="1"/>
  <c r="K52" i="10"/>
  <c r="G55" i="10"/>
  <c r="D47" i="11"/>
  <c r="E47" i="11" s="1"/>
  <c r="F47" i="11" s="1"/>
  <c r="F63" i="10"/>
  <c r="H73" i="10"/>
  <c r="M73" i="10" s="1"/>
  <c r="N73" i="10" s="1"/>
  <c r="H75" i="10"/>
  <c r="K53" i="10"/>
  <c r="D66" i="10"/>
  <c r="L39" i="10"/>
  <c r="J26" i="9"/>
  <c r="D100" i="10" s="1"/>
  <c r="AD45" i="12"/>
  <c r="AQ45" i="12"/>
  <c r="AU45" i="12"/>
  <c r="AB52" i="12"/>
  <c r="AR45" i="12"/>
  <c r="H52" i="12"/>
  <c r="J39" i="10"/>
  <c r="AG35" i="12"/>
  <c r="AN35" i="12"/>
  <c r="AI37" i="12"/>
  <c r="AM35" i="12"/>
  <c r="J35" i="9"/>
  <c r="J8" i="9"/>
  <c r="J34" i="9"/>
  <c r="H108" i="10" s="1"/>
  <c r="J37" i="9"/>
  <c r="D111" i="10" s="1"/>
  <c r="AV29" i="12"/>
  <c r="F39" i="10"/>
  <c r="J38" i="9"/>
  <c r="L112" i="10" s="1"/>
  <c r="M51" i="10"/>
  <c r="N51" i="10" s="1"/>
  <c r="K39" i="10"/>
  <c r="M38" i="10"/>
  <c r="N38" i="10" s="1"/>
  <c r="R52" i="12"/>
  <c r="J13" i="9"/>
  <c r="I87" i="10" s="1"/>
  <c r="M46" i="10"/>
  <c r="N46" i="10" s="1"/>
  <c r="AF37" i="12"/>
  <c r="AL35" i="12"/>
  <c r="M50" i="10"/>
  <c r="N50" i="10" s="1"/>
  <c r="J23" i="9"/>
  <c r="K97" i="10" s="1"/>
  <c r="AJ35" i="12"/>
  <c r="AJ37" i="12"/>
  <c r="I39" i="10"/>
  <c r="M37" i="10"/>
  <c r="N37" i="10" s="1"/>
  <c r="AK27" i="12"/>
  <c r="H39" i="10"/>
  <c r="AD33" i="12"/>
  <c r="G39" i="10"/>
  <c r="M68" i="10"/>
  <c r="N68" i="10" s="1"/>
  <c r="AA52" i="12"/>
  <c r="AF35" i="12"/>
  <c r="S52" i="12"/>
  <c r="J15" i="9"/>
  <c r="K89" i="10" s="1"/>
  <c r="AG24" i="12"/>
  <c r="AJ24" i="12"/>
  <c r="AO24" i="12"/>
  <c r="AM24" i="12"/>
  <c r="AI24" i="12"/>
  <c r="AE24" i="12"/>
  <c r="AF24" i="12"/>
  <c r="AH24" i="12"/>
  <c r="AN24" i="12"/>
  <c r="AD24" i="12"/>
  <c r="AL24" i="12"/>
  <c r="AK24" i="12"/>
  <c r="AG40" i="12"/>
  <c r="AH40" i="12"/>
  <c r="AM40" i="12"/>
  <c r="AO40" i="12"/>
  <c r="AN40" i="12"/>
  <c r="AS40" i="12"/>
  <c r="AT40" i="12"/>
  <c r="AF40" i="12"/>
  <c r="AQ40" i="12"/>
  <c r="AR40" i="12"/>
  <c r="AE40" i="12"/>
  <c r="AU40" i="12"/>
  <c r="AK40" i="12"/>
  <c r="AP40" i="12"/>
  <c r="AI40" i="12"/>
  <c r="AJ40" i="12"/>
  <c r="AL40" i="12"/>
  <c r="AV40" i="12"/>
  <c r="J30" i="9"/>
  <c r="E11" i="14"/>
  <c r="M60" i="10"/>
  <c r="N60" i="10" s="1"/>
  <c r="M45" i="10"/>
  <c r="N45" i="10" s="1"/>
  <c r="J14" i="9"/>
  <c r="AG32" i="12"/>
  <c r="M30" i="10"/>
  <c r="N30" i="10" s="1"/>
  <c r="C17" i="15"/>
  <c r="E17" i="15" s="1"/>
  <c r="G17" i="15" s="1"/>
  <c r="AJ36" i="12"/>
  <c r="AF36" i="12"/>
  <c r="AG36" i="12"/>
  <c r="AL36" i="12"/>
  <c r="AK36" i="12"/>
  <c r="AI36" i="12"/>
  <c r="AO36" i="12"/>
  <c r="AH27" i="12"/>
  <c r="AU29" i="12"/>
  <c r="F48" i="11"/>
  <c r="K52" i="12"/>
  <c r="J29" i="9"/>
  <c r="J62" i="10"/>
  <c r="J19" i="9"/>
  <c r="E39" i="10"/>
  <c r="H63" i="10"/>
  <c r="AI27" i="12"/>
  <c r="L102" i="10"/>
  <c r="H102" i="10"/>
  <c r="E102" i="10"/>
  <c r="K102" i="10"/>
  <c r="J102" i="10"/>
  <c r="I102" i="10"/>
  <c r="G102" i="10"/>
  <c r="F102" i="10"/>
  <c r="D102" i="10"/>
  <c r="J22" i="9"/>
  <c r="I40" i="9"/>
  <c r="AR19" i="12"/>
  <c r="AP19" i="12"/>
  <c r="AO19" i="12"/>
  <c r="AF19" i="12"/>
  <c r="AQ19" i="12"/>
  <c r="AN19" i="12"/>
  <c r="AS19" i="12"/>
  <c r="AM19" i="12"/>
  <c r="AK19" i="12"/>
  <c r="AH19" i="12"/>
  <c r="AJ19" i="12"/>
  <c r="AL19" i="12"/>
  <c r="AI19" i="12"/>
  <c r="AU19" i="12"/>
  <c r="AG19" i="12"/>
  <c r="AE19" i="12"/>
  <c r="AT19" i="12"/>
  <c r="K105" i="10"/>
  <c r="J105" i="10"/>
  <c r="L105" i="10"/>
  <c r="I105" i="10"/>
  <c r="H105" i="10"/>
  <c r="G105" i="10"/>
  <c r="F105" i="10"/>
  <c r="E105" i="10"/>
  <c r="D105" i="10"/>
  <c r="K81" i="10"/>
  <c r="L81" i="10"/>
  <c r="J81" i="10"/>
  <c r="I81" i="10"/>
  <c r="H81" i="10"/>
  <c r="G81" i="10"/>
  <c r="E81" i="10"/>
  <c r="F81" i="10"/>
  <c r="D81" i="10"/>
  <c r="F54" i="10"/>
  <c r="J9" i="9"/>
  <c r="W52" i="12"/>
  <c r="E56" i="10"/>
  <c r="M47" i="10"/>
  <c r="N47" i="10" s="1"/>
  <c r="M48" i="10"/>
  <c r="N48" i="10" s="1"/>
  <c r="J18" i="9"/>
  <c r="Q52" i="12"/>
  <c r="AS39" i="12"/>
  <c r="G56" i="10"/>
  <c r="J20" i="9"/>
  <c r="E90" i="10"/>
  <c r="D90" i="10"/>
  <c r="G90" i="10"/>
  <c r="F90" i="10"/>
  <c r="K90" i="10"/>
  <c r="I90" i="10"/>
  <c r="H90" i="10"/>
  <c r="L90" i="10"/>
  <c r="J90" i="10"/>
  <c r="L110" i="10"/>
  <c r="H110" i="10"/>
  <c r="E110" i="10"/>
  <c r="D110" i="10"/>
  <c r="K110" i="10"/>
  <c r="J110" i="10"/>
  <c r="I110" i="10"/>
  <c r="G110" i="10"/>
  <c r="F110" i="10"/>
  <c r="M69" i="10"/>
  <c r="N69" i="10" s="1"/>
  <c r="E53" i="10"/>
  <c r="M44" i="10"/>
  <c r="M19" i="10"/>
  <c r="N19" i="10" s="1"/>
  <c r="AR39" i="12"/>
  <c r="M57" i="10"/>
  <c r="N57" i="10" s="1"/>
  <c r="M67" i="10"/>
  <c r="N67" i="10" s="1"/>
  <c r="M18" i="10"/>
  <c r="N18" i="10" s="1"/>
  <c r="X52" i="12"/>
  <c r="AT39" i="12"/>
  <c r="I56" i="10"/>
  <c r="AO21" i="12"/>
  <c r="AU21" i="12"/>
  <c r="AL21" i="12"/>
  <c r="AS21" i="12"/>
  <c r="AM21" i="12"/>
  <c r="AR21" i="12"/>
  <c r="AK21" i="12"/>
  <c r="AL48" i="12"/>
  <c r="AW48" i="12"/>
  <c r="AZ48" i="12"/>
  <c r="AH48" i="12"/>
  <c r="AP48" i="12"/>
  <c r="AX48" i="12"/>
  <c r="AO48" i="12"/>
  <c r="AM48" i="12"/>
  <c r="AV48" i="12"/>
  <c r="AD48" i="12"/>
  <c r="AT48" i="12"/>
  <c r="AN48" i="12"/>
  <c r="AF48" i="12"/>
  <c r="AS48" i="12"/>
  <c r="AR48" i="12"/>
  <c r="AK48" i="12"/>
  <c r="AQ48" i="12"/>
  <c r="AE48" i="12"/>
  <c r="AG48" i="12"/>
  <c r="AY48" i="12"/>
  <c r="AU48" i="12"/>
  <c r="AI48" i="12"/>
  <c r="AJ48" i="12"/>
  <c r="BA48" i="12"/>
  <c r="M71" i="10"/>
  <c r="N71" i="10" s="1"/>
  <c r="M25" i="10"/>
  <c r="N25" i="10" s="1"/>
  <c r="AD36" i="12"/>
  <c r="AW47" i="12"/>
  <c r="AL47" i="12"/>
  <c r="AQ47" i="12"/>
  <c r="BA47" i="12"/>
  <c r="AK47" i="12"/>
  <c r="AP47" i="12"/>
  <c r="AU47" i="12"/>
  <c r="AY47" i="12"/>
  <c r="AE47" i="12"/>
  <c r="AI47" i="12"/>
  <c r="AZ47" i="12"/>
  <c r="AO47" i="12"/>
  <c r="AR47" i="12"/>
  <c r="AT47" i="12"/>
  <c r="AX47" i="12"/>
  <c r="AD47" i="12"/>
  <c r="AH47" i="12"/>
  <c r="AN47" i="12"/>
  <c r="AJ47" i="12"/>
  <c r="AS47" i="12"/>
  <c r="AF47" i="12"/>
  <c r="AM47" i="12"/>
  <c r="U52" i="12"/>
  <c r="AU39" i="12"/>
  <c r="AI29" i="12"/>
  <c r="AG29" i="12"/>
  <c r="AN29" i="12"/>
  <c r="AM29" i="12"/>
  <c r="AJ29" i="12"/>
  <c r="AO29" i="12"/>
  <c r="AP29" i="12"/>
  <c r="AR29" i="12"/>
  <c r="AQ29" i="12"/>
  <c r="AK29" i="12"/>
  <c r="AL29" i="12"/>
  <c r="M35" i="10"/>
  <c r="N35" i="10" s="1"/>
  <c r="K87" i="10"/>
  <c r="H87" i="10"/>
  <c r="AE27" i="12"/>
  <c r="AQ39" i="12"/>
  <c r="M61" i="10"/>
  <c r="N61" i="10" s="1"/>
  <c r="AM27" i="12"/>
  <c r="L65" i="10"/>
  <c r="M65" i="10" s="1"/>
  <c r="N65" i="10" s="1"/>
  <c r="H55" i="10"/>
  <c r="AJ27" i="12"/>
  <c r="AD11" i="12"/>
  <c r="AD14" i="12" s="1"/>
  <c r="D50" i="11"/>
  <c r="E50" i="11" s="1"/>
  <c r="F50" i="11" s="1"/>
  <c r="H86" i="10"/>
  <c r="E86" i="10"/>
  <c r="D86" i="10"/>
  <c r="L86" i="10"/>
  <c r="J86" i="10"/>
  <c r="G86" i="10"/>
  <c r="F86" i="10"/>
  <c r="K86" i="10"/>
  <c r="I86" i="10"/>
  <c r="Y52" i="12"/>
  <c r="V52" i="12"/>
  <c r="D74" i="10"/>
  <c r="J25" i="9"/>
  <c r="J27" i="9"/>
  <c r="AD39" i="12"/>
  <c r="J33" i="9"/>
  <c r="AF27" i="12"/>
  <c r="D97" i="10"/>
  <c r="L97" i="10"/>
  <c r="I97" i="10"/>
  <c r="J97" i="10"/>
  <c r="J11" i="9"/>
  <c r="AN32" i="12"/>
  <c r="AF32" i="12"/>
  <c r="AM32" i="12"/>
  <c r="AL32" i="12"/>
  <c r="AH32" i="12"/>
  <c r="AK32" i="12"/>
  <c r="AO32" i="12"/>
  <c r="AD32" i="12"/>
  <c r="AJ32" i="12"/>
  <c r="AE32" i="12"/>
  <c r="K72" i="10"/>
  <c r="D59" i="10"/>
  <c r="M59" i="10" s="1"/>
  <c r="N59" i="10" s="1"/>
  <c r="O52" i="12"/>
  <c r="I55" i="10"/>
  <c r="L53" i="10"/>
  <c r="AL27" i="12"/>
  <c r="AE23" i="12"/>
  <c r="AI23" i="12"/>
  <c r="AG23" i="12"/>
  <c r="AD23" i="12"/>
  <c r="AF23" i="12"/>
  <c r="AW45" i="12"/>
  <c r="AL45" i="12"/>
  <c r="AN45" i="12"/>
  <c r="AO45" i="12"/>
  <c r="AS45" i="12"/>
  <c r="AM45" i="12"/>
  <c r="AF45" i="12"/>
  <c r="AG45" i="12"/>
  <c r="AV45" i="12"/>
  <c r="AJ45" i="12"/>
  <c r="AK45" i="12"/>
  <c r="AH45" i="12"/>
  <c r="AI45" i="12"/>
  <c r="AZ45" i="12"/>
  <c r="BA45" i="12"/>
  <c r="AX45" i="12"/>
  <c r="AY45" i="12"/>
  <c r="AK35" i="12"/>
  <c r="AE36" i="12"/>
  <c r="G74" i="10"/>
  <c r="AD37" i="12"/>
  <c r="AP37" i="12"/>
  <c r="AQ37" i="12"/>
  <c r="AT37" i="12"/>
  <c r="AG37" i="12"/>
  <c r="AX37" i="12"/>
  <c r="AW37" i="12"/>
  <c r="AS37" i="12"/>
  <c r="AL37" i="12"/>
  <c r="AM37" i="12"/>
  <c r="AE37" i="12"/>
  <c r="AU37" i="12"/>
  <c r="AO37" i="12"/>
  <c r="AV37" i="12"/>
  <c r="AK37" i="12"/>
  <c r="AR37" i="12"/>
  <c r="AD29" i="12"/>
  <c r="F62" i="10"/>
  <c r="AN27" i="12"/>
  <c r="AH39" i="12"/>
  <c r="AI39" i="12"/>
  <c r="AG39" i="12"/>
  <c r="AX39" i="12"/>
  <c r="AW39" i="12"/>
  <c r="AJ39" i="12"/>
  <c r="AV39" i="12"/>
  <c r="AM39" i="12"/>
  <c r="AK39" i="12"/>
  <c r="AL39" i="12"/>
  <c r="E98" i="10"/>
  <c r="D98" i="10"/>
  <c r="L98" i="10"/>
  <c r="K98" i="10"/>
  <c r="J98" i="10"/>
  <c r="I98" i="10"/>
  <c r="H98" i="10"/>
  <c r="G98" i="10"/>
  <c r="F98" i="10"/>
  <c r="I84" i="10"/>
  <c r="D84" i="10"/>
  <c r="L84" i="10"/>
  <c r="K84" i="10"/>
  <c r="J84" i="10"/>
  <c r="H84" i="10"/>
  <c r="G84" i="10"/>
  <c r="F84" i="10"/>
  <c r="E84" i="10"/>
  <c r="D36" i="14"/>
  <c r="E106" i="10"/>
  <c r="E14" i="13" s="1"/>
  <c r="D106" i="10"/>
  <c r="L106" i="10"/>
  <c r="L14" i="13" s="1"/>
  <c r="K106" i="10"/>
  <c r="K14" i="13" s="1"/>
  <c r="J106" i="10"/>
  <c r="J14" i="13" s="1"/>
  <c r="H106" i="10"/>
  <c r="H14" i="13" s="1"/>
  <c r="F106" i="10"/>
  <c r="F14" i="13" s="1"/>
  <c r="I106" i="10"/>
  <c r="I14" i="13" s="1"/>
  <c r="G106" i="10"/>
  <c r="G14" i="13" s="1"/>
  <c r="AR18" i="12"/>
  <c r="AS18" i="12"/>
  <c r="AU18" i="12"/>
  <c r="AH18" i="12"/>
  <c r="AP18" i="12"/>
  <c r="AV18" i="12"/>
  <c r="AJ18" i="12"/>
  <c r="AO18" i="12"/>
  <c r="AL18" i="12"/>
  <c r="AN18" i="12"/>
  <c r="AE18" i="12"/>
  <c r="AQ18" i="12"/>
  <c r="AG18" i="12"/>
  <c r="AK18" i="12"/>
  <c r="AF18" i="12"/>
  <c r="AM18" i="12"/>
  <c r="AI18" i="12"/>
  <c r="AT18" i="12"/>
  <c r="AP21" i="12"/>
  <c r="M58" i="10"/>
  <c r="N58" i="10" s="1"/>
  <c r="AE35" i="12"/>
  <c r="AE29" i="12"/>
  <c r="E64" i="10"/>
  <c r="AF39" i="12"/>
  <c r="F56" i="10"/>
  <c r="AK25" i="12"/>
  <c r="AF25" i="12"/>
  <c r="AD25" i="12"/>
  <c r="AJ25" i="12"/>
  <c r="AN25" i="12"/>
  <c r="AE25" i="12"/>
  <c r="AO25" i="12"/>
  <c r="AG25" i="12"/>
  <c r="AH25" i="12"/>
  <c r="AM25" i="12"/>
  <c r="AI25" i="12"/>
  <c r="AO27" i="12"/>
  <c r="I108" i="10"/>
  <c r="D108" i="10"/>
  <c r="K108" i="10"/>
  <c r="J108" i="10"/>
  <c r="G108" i="10"/>
  <c r="F108" i="10"/>
  <c r="E108" i="10"/>
  <c r="E82" i="10"/>
  <c r="F82" i="10"/>
  <c r="D82" i="10"/>
  <c r="L82" i="10"/>
  <c r="J82" i="10"/>
  <c r="H82" i="10"/>
  <c r="G82" i="10"/>
  <c r="K82" i="10"/>
  <c r="I82" i="10"/>
  <c r="AN28" i="12"/>
  <c r="AL28" i="12"/>
  <c r="AM28" i="12"/>
  <c r="AD28" i="12"/>
  <c r="AO28" i="12"/>
  <c r="AE28" i="12"/>
  <c r="AG28" i="12"/>
  <c r="AF28" i="12"/>
  <c r="AH28" i="12"/>
  <c r="AI28" i="12"/>
  <c r="AJ28" i="12"/>
  <c r="AK28" i="12"/>
  <c r="J95" i="10"/>
  <c r="G95" i="10"/>
  <c r="L95" i="10"/>
  <c r="K95" i="10"/>
  <c r="I95" i="10"/>
  <c r="H95" i="10"/>
  <c r="F95" i="10"/>
  <c r="E95" i="10"/>
  <c r="D95" i="10"/>
  <c r="AQ21" i="12"/>
  <c r="M49" i="10"/>
  <c r="N49" i="10" s="1"/>
  <c r="AH36" i="12"/>
  <c r="H74" i="10"/>
  <c r="AD35" i="12"/>
  <c r="AF29" i="12"/>
  <c r="D62" i="10"/>
  <c r="AN39" i="12"/>
  <c r="AH35" i="12"/>
  <c r="AG30" i="12"/>
  <c r="AN30" i="12"/>
  <c r="AF30" i="12"/>
  <c r="AM30" i="12"/>
  <c r="AD30" i="12"/>
  <c r="AL30" i="12"/>
  <c r="AH30" i="12"/>
  <c r="AI30" i="12"/>
  <c r="AE30" i="12"/>
  <c r="AJ30" i="12"/>
  <c r="AK30" i="12"/>
  <c r="M70" i="10"/>
  <c r="N70" i="10" s="1"/>
  <c r="D49" i="12"/>
  <c r="AU17" i="12"/>
  <c r="AL17" i="12"/>
  <c r="AO17" i="12"/>
  <c r="AT17" i="12"/>
  <c r="AH17" i="12"/>
  <c r="AS17" i="12"/>
  <c r="AN17" i="12"/>
  <c r="AP17" i="12"/>
  <c r="AR17" i="12"/>
  <c r="AJ17" i="12"/>
  <c r="AM17" i="12"/>
  <c r="AI17" i="12"/>
  <c r="AF17" i="12"/>
  <c r="AE17" i="12"/>
  <c r="AK17" i="12"/>
  <c r="AQ17" i="12"/>
  <c r="AD17" i="12"/>
  <c r="AG17" i="12"/>
  <c r="AV17" i="12"/>
  <c r="G52" i="12"/>
  <c r="G54" i="12" s="1"/>
  <c r="C16" i="15"/>
  <c r="E16" i="15" s="1"/>
  <c r="G16" i="15" s="1"/>
  <c r="K109" i="10"/>
  <c r="J109" i="10"/>
  <c r="F109" i="10"/>
  <c r="D109" i="10"/>
  <c r="I109" i="10"/>
  <c r="G109" i="10"/>
  <c r="E109" i="10"/>
  <c r="L109" i="10"/>
  <c r="H109" i="10"/>
  <c r="P52" i="12"/>
  <c r="N7" i="10"/>
  <c r="D75" i="10"/>
  <c r="M75" i="10" s="1"/>
  <c r="N75" i="10" s="1"/>
  <c r="D72" i="10"/>
  <c r="AC52" i="12"/>
  <c r="AT21" i="12"/>
  <c r="J17" i="9"/>
  <c r="AM36" i="12"/>
  <c r="I74" i="10"/>
  <c r="AH29" i="12"/>
  <c r="E62" i="10"/>
  <c r="AO39" i="12"/>
  <c r="T52" i="12"/>
  <c r="AP45" i="12"/>
  <c r="L55" i="10"/>
  <c r="D39" i="10"/>
  <c r="E72" i="10"/>
  <c r="AV21" i="12"/>
  <c r="C49" i="12"/>
  <c r="AG33" i="12"/>
  <c r="AI33" i="12"/>
  <c r="AH33" i="12"/>
  <c r="AE33" i="12"/>
  <c r="AN36" i="12"/>
  <c r="AG47" i="12"/>
  <c r="AT29" i="12"/>
  <c r="AI35" i="12"/>
  <c r="G62" i="10"/>
  <c r="I64" i="10"/>
  <c r="AP39" i="12"/>
  <c r="M52" i="12"/>
  <c r="M52" i="10" l="1"/>
  <c r="N52" i="10" s="1"/>
  <c r="I100" i="10"/>
  <c r="D38" i="14"/>
  <c r="F112" i="10"/>
  <c r="G112" i="10"/>
  <c r="M54" i="10"/>
  <c r="N54" i="10" s="1"/>
  <c r="L87" i="10"/>
  <c r="J76" i="10"/>
  <c r="K112" i="10"/>
  <c r="E112" i="10"/>
  <c r="E16" i="13" s="1"/>
  <c r="H100" i="10"/>
  <c r="E89" i="10"/>
  <c r="D87" i="10"/>
  <c r="J112" i="10"/>
  <c r="J100" i="10"/>
  <c r="E87" i="10"/>
  <c r="D112" i="10"/>
  <c r="D16" i="13" s="1"/>
  <c r="L100" i="10"/>
  <c r="F87" i="10"/>
  <c r="H112" i="10"/>
  <c r="F100" i="10"/>
  <c r="D89" i="10"/>
  <c r="F89" i="10"/>
  <c r="G89" i="10"/>
  <c r="H89" i="10"/>
  <c r="I89" i="10"/>
  <c r="J89" i="10"/>
  <c r="L89" i="10"/>
  <c r="G87" i="10"/>
  <c r="G100" i="10"/>
  <c r="J87" i="10"/>
  <c r="K100" i="10"/>
  <c r="E100" i="10"/>
  <c r="M63" i="10"/>
  <c r="N63" i="10" s="1"/>
  <c r="M66" i="10"/>
  <c r="N66" i="10" s="1"/>
  <c r="J111" i="10"/>
  <c r="M55" i="10"/>
  <c r="N55" i="10" s="1"/>
  <c r="L108" i="10"/>
  <c r="M108" i="10" s="1"/>
  <c r="N108" i="10" s="1"/>
  <c r="K76" i="10"/>
  <c r="H111" i="10"/>
  <c r="E111" i="10"/>
  <c r="D32" i="14"/>
  <c r="I111" i="10"/>
  <c r="K111" i="10"/>
  <c r="K16" i="13" s="1"/>
  <c r="L111" i="10"/>
  <c r="L16" i="13" s="1"/>
  <c r="F111" i="10"/>
  <c r="F16" i="13" s="1"/>
  <c r="G111" i="10"/>
  <c r="G16" i="13" s="1"/>
  <c r="BA49" i="12"/>
  <c r="BA52" i="12" s="1"/>
  <c r="AZ49" i="12"/>
  <c r="AZ52" i="12" s="1"/>
  <c r="M56" i="10"/>
  <c r="N56" i="10" s="1"/>
  <c r="H76" i="10"/>
  <c r="F76" i="10"/>
  <c r="G76" i="10"/>
  <c r="I76" i="10"/>
  <c r="H97" i="10"/>
  <c r="D14" i="15"/>
  <c r="I112" i="10"/>
  <c r="I16" i="13" s="1"/>
  <c r="M64" i="10"/>
  <c r="N64" i="10" s="1"/>
  <c r="AY49" i="12"/>
  <c r="AY52" i="12" s="1"/>
  <c r="M102" i="10"/>
  <c r="N102" i="10" s="1"/>
  <c r="E76" i="10"/>
  <c r="AW49" i="12"/>
  <c r="AW52" i="12" s="1"/>
  <c r="L76" i="10"/>
  <c r="AG49" i="12"/>
  <c r="AG52" i="12" s="1"/>
  <c r="AL49" i="12"/>
  <c r="AL52" i="12" s="1"/>
  <c r="E97" i="10"/>
  <c r="F97" i="10"/>
  <c r="AQ49" i="12"/>
  <c r="AQ52" i="12" s="1"/>
  <c r="M62" i="10"/>
  <c r="N62" i="10" s="1"/>
  <c r="G97" i="10"/>
  <c r="N44" i="10"/>
  <c r="M39" i="10"/>
  <c r="AU49" i="12"/>
  <c r="AU52" i="12" s="1"/>
  <c r="D76" i="10"/>
  <c r="J40" i="9"/>
  <c r="K93" i="10"/>
  <c r="J93" i="10"/>
  <c r="F93" i="10"/>
  <c r="L93" i="10"/>
  <c r="H93" i="10"/>
  <c r="E93" i="10"/>
  <c r="D93" i="10"/>
  <c r="I93" i="10"/>
  <c r="G93" i="10"/>
  <c r="AI49" i="12"/>
  <c r="AI52" i="12" s="1"/>
  <c r="I92" i="10"/>
  <c r="H92" i="10"/>
  <c r="D92" i="10"/>
  <c r="L92" i="10"/>
  <c r="K92" i="10"/>
  <c r="J92" i="10"/>
  <c r="G92" i="10"/>
  <c r="F92" i="10"/>
  <c r="E92" i="10"/>
  <c r="M98" i="10"/>
  <c r="N98" i="10" s="1"/>
  <c r="J103" i="10"/>
  <c r="G103" i="10"/>
  <c r="D103" i="10"/>
  <c r="L103" i="10"/>
  <c r="I103" i="10"/>
  <c r="F103" i="10"/>
  <c r="E103" i="10"/>
  <c r="H103" i="10"/>
  <c r="K103" i="10"/>
  <c r="M53" i="10"/>
  <c r="N53" i="10" s="1"/>
  <c r="M86" i="10"/>
  <c r="N86" i="10" s="1"/>
  <c r="M90" i="10"/>
  <c r="N90" i="10" s="1"/>
  <c r="AJ49" i="12"/>
  <c r="AJ52" i="12" s="1"/>
  <c r="L94" i="10"/>
  <c r="H94" i="10"/>
  <c r="E94" i="10"/>
  <c r="J94" i="10"/>
  <c r="I94" i="10"/>
  <c r="G94" i="10"/>
  <c r="F94" i="10"/>
  <c r="D94" i="10"/>
  <c r="K94" i="10"/>
  <c r="AE49" i="12"/>
  <c r="AE52" i="12" s="1"/>
  <c r="AR49" i="12"/>
  <c r="AR52" i="12" s="1"/>
  <c r="M84" i="10"/>
  <c r="N84" i="10" s="1"/>
  <c r="M105" i="10"/>
  <c r="N105" i="10" s="1"/>
  <c r="C15" i="15"/>
  <c r="E15" i="15" s="1"/>
  <c r="G15" i="15" s="1"/>
  <c r="AF49" i="12"/>
  <c r="AF52" i="12" s="1"/>
  <c r="M109" i="10"/>
  <c r="N109" i="10" s="1"/>
  <c r="G91" i="10"/>
  <c r="F91" i="10"/>
  <c r="L91" i="10"/>
  <c r="K91" i="10"/>
  <c r="J91" i="10"/>
  <c r="I91" i="10"/>
  <c r="H91" i="10"/>
  <c r="E91" i="10"/>
  <c r="D91" i="10"/>
  <c r="AP49" i="12"/>
  <c r="AP52" i="12" s="1"/>
  <c r="M95" i="10"/>
  <c r="N95" i="10" s="1"/>
  <c r="D37" i="14"/>
  <c r="G107" i="10"/>
  <c r="G15" i="13" s="1"/>
  <c r="F107" i="10"/>
  <c r="F15" i="13" s="1"/>
  <c r="J107" i="10"/>
  <c r="J15" i="13" s="1"/>
  <c r="K107" i="10"/>
  <c r="K15" i="13" s="1"/>
  <c r="I107" i="10"/>
  <c r="I15" i="13" s="1"/>
  <c r="H107" i="10"/>
  <c r="H15" i="13" s="1"/>
  <c r="E107" i="10"/>
  <c r="E15" i="13" s="1"/>
  <c r="D107" i="10"/>
  <c r="L107" i="10"/>
  <c r="L15" i="13" s="1"/>
  <c r="M110" i="10"/>
  <c r="N110" i="10" s="1"/>
  <c r="AN49" i="12"/>
  <c r="AN52" i="12" s="1"/>
  <c r="G83" i="10"/>
  <c r="J83" i="10"/>
  <c r="I83" i="10"/>
  <c r="H83" i="10"/>
  <c r="H10" i="13" s="1"/>
  <c r="F83" i="10"/>
  <c r="E83" i="10"/>
  <c r="D83" i="10"/>
  <c r="L83" i="10"/>
  <c r="K83" i="10"/>
  <c r="C11" i="15"/>
  <c r="E11" i="15" s="1"/>
  <c r="G11" i="15" s="1"/>
  <c r="N39" i="10"/>
  <c r="AK49" i="12"/>
  <c r="AK52" i="12" s="1"/>
  <c r="AM49" i="12"/>
  <c r="AM52" i="12" s="1"/>
  <c r="AS49" i="12"/>
  <c r="AS52" i="12" s="1"/>
  <c r="D34" i="14"/>
  <c r="K101" i="10"/>
  <c r="J101" i="10"/>
  <c r="F101" i="10"/>
  <c r="L101" i="10"/>
  <c r="I101" i="10"/>
  <c r="H101" i="10"/>
  <c r="G101" i="10"/>
  <c r="E101" i="10"/>
  <c r="D101" i="10"/>
  <c r="M82" i="10"/>
  <c r="N82" i="10" s="1"/>
  <c r="AH49" i="12"/>
  <c r="AH52" i="12" s="1"/>
  <c r="AX49" i="12"/>
  <c r="AX52" i="12" s="1"/>
  <c r="K85" i="10"/>
  <c r="F85" i="10"/>
  <c r="L85" i="10"/>
  <c r="J85" i="10"/>
  <c r="I85" i="10"/>
  <c r="H85" i="10"/>
  <c r="G85" i="10"/>
  <c r="D85" i="10"/>
  <c r="E85" i="10"/>
  <c r="G99" i="10"/>
  <c r="F99" i="10"/>
  <c r="L99" i="10"/>
  <c r="K99" i="10"/>
  <c r="J99" i="10"/>
  <c r="I99" i="10"/>
  <c r="H99" i="10"/>
  <c r="D99" i="10"/>
  <c r="E99" i="10"/>
  <c r="M81" i="10"/>
  <c r="D35" i="14"/>
  <c r="L104" i="10"/>
  <c r="L13" i="13" s="1"/>
  <c r="I104" i="10"/>
  <c r="I13" i="13" s="1"/>
  <c r="J104" i="10"/>
  <c r="J13" i="13" s="1"/>
  <c r="H104" i="10"/>
  <c r="H13" i="13" s="1"/>
  <c r="G104" i="10"/>
  <c r="G13" i="13" s="1"/>
  <c r="F104" i="10"/>
  <c r="F13" i="13" s="1"/>
  <c r="E104" i="10"/>
  <c r="E13" i="13" s="1"/>
  <c r="D104" i="10"/>
  <c r="K104" i="10"/>
  <c r="K13" i="13" s="1"/>
  <c r="L96" i="10"/>
  <c r="I96" i="10"/>
  <c r="K96" i="10"/>
  <c r="J96" i="10"/>
  <c r="G96" i="10"/>
  <c r="E96" i="10"/>
  <c r="D96" i="10"/>
  <c r="H96" i="10"/>
  <c r="F96" i="10"/>
  <c r="M74" i="10"/>
  <c r="N74" i="10" s="1"/>
  <c r="AD44" i="12"/>
  <c r="AD49" i="12" s="1"/>
  <c r="AD52" i="12" s="1"/>
  <c r="M72" i="10"/>
  <c r="N72" i="10" s="1"/>
  <c r="H53" i="12"/>
  <c r="H54" i="12" s="1"/>
  <c r="G55" i="12"/>
  <c r="B44" i="14"/>
  <c r="AT49" i="12"/>
  <c r="AT52" i="12" s="1"/>
  <c r="AV49" i="12"/>
  <c r="AV52" i="12" s="1"/>
  <c r="AO49" i="12"/>
  <c r="AO52" i="12" s="1"/>
  <c r="M106" i="10"/>
  <c r="N106" i="10" s="1"/>
  <c r="D14" i="13"/>
  <c r="M14" i="13" s="1"/>
  <c r="D33" i="14"/>
  <c r="L88" i="10"/>
  <c r="I88" i="10"/>
  <c r="K88" i="10"/>
  <c r="J88" i="10"/>
  <c r="H88" i="10"/>
  <c r="G88" i="10"/>
  <c r="F88" i="10"/>
  <c r="E88" i="10"/>
  <c r="D88" i="10"/>
  <c r="E10" i="13" l="1"/>
  <c r="J16" i="13"/>
  <c r="H16" i="13"/>
  <c r="G12" i="13"/>
  <c r="M89" i="10"/>
  <c r="N89" i="10" s="1"/>
  <c r="K12" i="13"/>
  <c r="M100" i="10"/>
  <c r="N100" i="10" s="1"/>
  <c r="M87" i="10"/>
  <c r="N87" i="10" s="1"/>
  <c r="M112" i="10"/>
  <c r="N112" i="10" s="1"/>
  <c r="M111" i="10"/>
  <c r="N111" i="10" s="1"/>
  <c r="F10" i="13"/>
  <c r="L10" i="13"/>
  <c r="E12" i="13"/>
  <c r="M97" i="10"/>
  <c r="N97" i="10" s="1"/>
  <c r="H11" i="13"/>
  <c r="K113" i="10"/>
  <c r="D113" i="10"/>
  <c r="F113" i="10"/>
  <c r="L113" i="10"/>
  <c r="L12" i="13"/>
  <c r="I113" i="10"/>
  <c r="F12" i="13"/>
  <c r="J113" i="10"/>
  <c r="E113" i="10"/>
  <c r="J12" i="13"/>
  <c r="G113" i="10"/>
  <c r="I12" i="13"/>
  <c r="I11" i="13"/>
  <c r="M101" i="10"/>
  <c r="N101" i="10" s="1"/>
  <c r="D12" i="13"/>
  <c r="M107" i="10"/>
  <c r="N107" i="10" s="1"/>
  <c r="D15" i="13"/>
  <c r="M15" i="13" s="1"/>
  <c r="M94" i="10"/>
  <c r="N94" i="10" s="1"/>
  <c r="H113" i="10"/>
  <c r="M92" i="10"/>
  <c r="N92" i="10" s="1"/>
  <c r="M104" i="10"/>
  <c r="N104" i="10" s="1"/>
  <c r="D13" i="13"/>
  <c r="M13" i="13" s="1"/>
  <c r="J11" i="13"/>
  <c r="H12" i="13"/>
  <c r="M16" i="13"/>
  <c r="M103" i="10"/>
  <c r="N103" i="10" s="1"/>
  <c r="D10" i="13"/>
  <c r="M85" i="10"/>
  <c r="N85" i="10" s="1"/>
  <c r="G10" i="13"/>
  <c r="E11" i="13"/>
  <c r="E17" i="13" s="1"/>
  <c r="M99" i="10"/>
  <c r="N99" i="10" s="1"/>
  <c r="J10" i="13"/>
  <c r="I10" i="13"/>
  <c r="K10" i="13"/>
  <c r="M93" i="10"/>
  <c r="N93" i="10" s="1"/>
  <c r="M76" i="10"/>
  <c r="L11" i="13"/>
  <c r="M83" i="10"/>
  <c r="N83" i="10" s="1"/>
  <c r="N81" i="10"/>
  <c r="M88" i="10"/>
  <c r="N88" i="10" s="1"/>
  <c r="D11" i="13"/>
  <c r="F11" i="13"/>
  <c r="C12" i="15"/>
  <c r="E12" i="15" s="1"/>
  <c r="G12" i="15" s="1"/>
  <c r="N76" i="10"/>
  <c r="K11" i="13"/>
  <c r="M96" i="10"/>
  <c r="N96" i="10" s="1"/>
  <c r="G11" i="13"/>
  <c r="I53" i="12"/>
  <c r="I54" i="12" s="1"/>
  <c r="B45" i="14"/>
  <c r="H55" i="12"/>
  <c r="M91" i="10"/>
  <c r="N91" i="10" s="1"/>
  <c r="H17" i="13" l="1"/>
  <c r="F17" i="13"/>
  <c r="L17" i="13"/>
  <c r="K17" i="13"/>
  <c r="I17" i="13"/>
  <c r="C20" i="14"/>
  <c r="F23" i="13"/>
  <c r="F19" i="13"/>
  <c r="L23" i="13"/>
  <c r="C26" i="14"/>
  <c r="L19" i="13"/>
  <c r="H23" i="13"/>
  <c r="C22" i="14"/>
  <c r="H19" i="13"/>
  <c r="C19" i="14"/>
  <c r="E23" i="13"/>
  <c r="E19" i="13"/>
  <c r="B46" i="14"/>
  <c r="J53" i="12"/>
  <c r="J54" i="12" s="1"/>
  <c r="I55" i="12"/>
  <c r="C13" i="15"/>
  <c r="E13" i="15" s="1"/>
  <c r="G13" i="15" s="1"/>
  <c r="N113" i="10"/>
  <c r="M12" i="13"/>
  <c r="G17" i="13"/>
  <c r="J17" i="13"/>
  <c r="C25" i="14"/>
  <c r="K23" i="13"/>
  <c r="K19" i="13"/>
  <c r="M11" i="13"/>
  <c r="C23" i="14"/>
  <c r="I23" i="13"/>
  <c r="I19" i="13"/>
  <c r="D17" i="13"/>
  <c r="M10" i="13"/>
  <c r="M113" i="10"/>
  <c r="D23" i="13" l="1"/>
  <c r="M17" i="13"/>
  <c r="C18" i="14"/>
  <c r="D19" i="13"/>
  <c r="I20" i="13"/>
  <c r="D23" i="14" s="1"/>
  <c r="I21" i="13"/>
  <c r="K20" i="13"/>
  <c r="D25" i="14" s="1"/>
  <c r="K21" i="13"/>
  <c r="J55" i="12"/>
  <c r="B47" i="14"/>
  <c r="K53" i="12"/>
  <c r="K54" i="12" s="1"/>
  <c r="E21" i="13"/>
  <c r="E20" i="13"/>
  <c r="D19" i="14" s="1"/>
  <c r="H21" i="13"/>
  <c r="H20" i="13"/>
  <c r="D22" i="14" s="1"/>
  <c r="L20" i="13"/>
  <c r="D26" i="14" s="1"/>
  <c r="L21" i="13"/>
  <c r="C24" i="14"/>
  <c r="J23" i="13"/>
  <c r="J19" i="13"/>
  <c r="C21" i="14"/>
  <c r="G23" i="13"/>
  <c r="G19" i="13"/>
  <c r="F21" i="13"/>
  <c r="F20" i="13"/>
  <c r="D20" i="14" s="1"/>
  <c r="E6" i="14" l="1"/>
  <c r="M23" i="13"/>
  <c r="C14" i="15"/>
  <c r="E14" i="15" s="1"/>
  <c r="G14" i="15" s="1"/>
  <c r="K55" i="12"/>
  <c r="B48" i="14"/>
  <c r="L53" i="12"/>
  <c r="L54" i="12" s="1"/>
  <c r="G21" i="13"/>
  <c r="G20" i="13"/>
  <c r="D21" i="14" s="1"/>
  <c r="J20" i="13"/>
  <c r="D24" i="14" s="1"/>
  <c r="J21" i="13"/>
  <c r="D21" i="13"/>
  <c r="D20" i="13"/>
  <c r="D18" i="14" s="1"/>
  <c r="M19" i="13"/>
  <c r="L55" i="12" l="1"/>
  <c r="B49" i="14"/>
  <c r="M53" i="12"/>
  <c r="M54" i="12" s="1"/>
  <c r="M20" i="13"/>
  <c r="I6" i="14"/>
  <c r="M21" i="13"/>
  <c r="M6" i="14" l="1"/>
  <c r="B50" i="14"/>
  <c r="N53" i="12"/>
  <c r="N54" i="12" s="1"/>
  <c r="M55" i="12"/>
  <c r="B51" i="14" l="1"/>
  <c r="N55" i="12"/>
  <c r="O53" i="12"/>
  <c r="O54" i="12" s="1"/>
  <c r="P53" i="12" l="1"/>
  <c r="P54" i="12" s="1"/>
  <c r="O55" i="12"/>
  <c r="B52" i="14"/>
  <c r="Q53" i="12" l="1"/>
  <c r="Q54" i="12" s="1"/>
  <c r="P55" i="12"/>
  <c r="B53" i="14"/>
  <c r="B54" i="14" l="1"/>
  <c r="R53" i="12"/>
  <c r="R54" i="12" s="1"/>
  <c r="Q55" i="12"/>
  <c r="B55" i="14" l="1"/>
  <c r="S53" i="12"/>
  <c r="S54" i="12" s="1"/>
  <c r="R55" i="12"/>
  <c r="B56" i="14" l="1"/>
  <c r="T53" i="12"/>
  <c r="T54" i="12" s="1"/>
  <c r="S55" i="12"/>
  <c r="U53" i="12" l="1"/>
  <c r="U54" i="12" s="1"/>
  <c r="T55" i="12"/>
  <c r="B57" i="14"/>
  <c r="V53" i="12" l="1"/>
  <c r="V54" i="12" s="1"/>
  <c r="U55" i="12"/>
  <c r="B58" i="14"/>
  <c r="W53" i="12" l="1"/>
  <c r="W54" i="12" s="1"/>
  <c r="V55" i="12"/>
  <c r="B59" i="14"/>
  <c r="X53" i="12" l="1"/>
  <c r="X54" i="12" s="1"/>
  <c r="W55" i="12"/>
  <c r="B60" i="14"/>
  <c r="Y53" i="12" l="1"/>
  <c r="Y54" i="12" s="1"/>
  <c r="B61" i="14"/>
  <c r="X55" i="12"/>
  <c r="B62" i="14" l="1"/>
  <c r="Z53" i="12"/>
  <c r="Z54" i="12" s="1"/>
  <c r="Y55" i="12"/>
  <c r="Z55" i="12" l="1"/>
  <c r="B63" i="14"/>
  <c r="AA53" i="12"/>
  <c r="AA54" i="12" s="1"/>
  <c r="AA55" i="12" l="1"/>
  <c r="B64" i="14"/>
  <c r="AB53" i="12"/>
  <c r="AB54" i="12" s="1"/>
  <c r="AB55" i="12" l="1"/>
  <c r="B65" i="14"/>
  <c r="AC53" i="12"/>
  <c r="AC54" i="12" s="1"/>
  <c r="B66" i="14" l="1"/>
  <c r="AD53" i="12"/>
  <c r="AD54" i="12" s="1"/>
  <c r="AC55" i="12"/>
  <c r="B67" i="14" l="1"/>
  <c r="AD55" i="12"/>
  <c r="AE53" i="12"/>
  <c r="AE54" i="12" s="1"/>
  <c r="AF53" i="12" l="1"/>
  <c r="AF54" i="12" s="1"/>
  <c r="AE55" i="12"/>
  <c r="B68" i="14"/>
  <c r="AG53" i="12" l="1"/>
  <c r="AG54" i="12" s="1"/>
  <c r="AF55" i="12"/>
  <c r="B69" i="14"/>
  <c r="B70" i="14" l="1"/>
  <c r="AH53" i="12"/>
  <c r="AH54" i="12" s="1"/>
  <c r="AG55" i="12"/>
  <c r="B71" i="14" l="1"/>
  <c r="AI53" i="12"/>
  <c r="AI54" i="12" s="1"/>
  <c r="AH55" i="12"/>
  <c r="B72" i="14" l="1"/>
  <c r="AJ53" i="12"/>
  <c r="AJ54" i="12" s="1"/>
  <c r="AI55" i="12"/>
  <c r="AK53" i="12" l="1"/>
  <c r="AK54" i="12" s="1"/>
  <c r="AJ55" i="12"/>
  <c r="B73" i="14"/>
  <c r="AL53" i="12" l="1"/>
  <c r="AL54" i="12" s="1"/>
  <c r="AK55" i="12"/>
  <c r="B74" i="14"/>
  <c r="AM53" i="12" l="1"/>
  <c r="AM54" i="12" s="1"/>
  <c r="AL55" i="12"/>
  <c r="B75" i="14"/>
  <c r="AN53" i="12" l="1"/>
  <c r="AN54" i="12" s="1"/>
  <c r="AM55" i="12"/>
  <c r="B76" i="14"/>
  <c r="AO53" i="12" l="1"/>
  <c r="AO54" i="12" s="1"/>
  <c r="B77" i="14"/>
  <c r="AN55" i="12"/>
  <c r="B78" i="14" l="1"/>
  <c r="AP53" i="12"/>
  <c r="AP54" i="12" s="1"/>
  <c r="AO55" i="12"/>
  <c r="AP55" i="12" l="1"/>
  <c r="B79" i="14"/>
  <c r="AQ53" i="12"/>
  <c r="AQ54" i="12" s="1"/>
  <c r="AQ55" i="12" l="1"/>
  <c r="B80" i="14"/>
  <c r="AR53" i="12"/>
  <c r="AR54" i="12" s="1"/>
  <c r="AR55" i="12" l="1"/>
  <c r="B81" i="14"/>
  <c r="AS53" i="12"/>
  <c r="AS54" i="12" s="1"/>
  <c r="B82" i="14" l="1"/>
  <c r="AT53" i="12"/>
  <c r="AT54" i="12" s="1"/>
  <c r="AS55" i="12"/>
  <c r="B83" i="14" l="1"/>
  <c r="AT55" i="12"/>
  <c r="AU53" i="12"/>
  <c r="AU54" i="12" s="1"/>
  <c r="AV53" i="12" l="1"/>
  <c r="AV54" i="12" s="1"/>
  <c r="AU55" i="12"/>
  <c r="B84" i="14"/>
  <c r="AW53" i="12" l="1"/>
  <c r="AW54" i="12" s="1"/>
  <c r="AV55" i="12"/>
  <c r="B85" i="14"/>
  <c r="B86" i="14" l="1"/>
  <c r="AX53" i="12"/>
  <c r="AX54" i="12" s="1"/>
  <c r="AW55" i="12"/>
  <c r="B87" i="14" l="1"/>
  <c r="AY53" i="12"/>
  <c r="AY54" i="12" s="1"/>
  <c r="AX55" i="12"/>
  <c r="B88" i="14" l="1"/>
  <c r="AZ53" i="12"/>
  <c r="AZ54" i="12" s="1"/>
  <c r="AY55" i="12"/>
  <c r="BA53" i="12" l="1"/>
  <c r="BA54" i="12" s="1"/>
  <c r="AZ55" i="12"/>
  <c r="B89" i="14"/>
  <c r="BA55" i="12" l="1"/>
  <c r="C23" i="15"/>
  <c r="E23" i="15" s="1"/>
  <c r="G23" i="15" s="1"/>
  <c r="G5" i="15" s="1"/>
  <c r="B90" i="14"/>
  <c r="A11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tc={B310A3AA-9EB3-4111-3146-8630AF3191C6}</author>
    <author>tc={AADD5B93-B27A-A21C-4093-E5E288B3BFDE}</author>
    <author>tc={3FA27048-0ECF-CBAB-0C97-A6AB8DFE151A}</author>
    <author>tc={3A71DACB-FABE-2032-74C5-07BCDF05822F}</author>
  </authors>
  <commentList>
    <comment ref="F14" authorId="0" shapeId="0" xr:uid="{00000000-0006-0000-08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legacy Cost Allocation summary. This is a genuine source input, not a derived value.</t>
      </text>
    </comment>
    <comment ref="G30" authorId="1" shapeId="0" xr:uid="{00000000-0006-0000-08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Formula: contingency rate multiplied by the six core hard-cost categories, matching the legacy model logic.</t>
      </text>
    </comment>
    <comment ref="G33" authorId="2" shapeId="0" xr:uid="{00000000-0006-0000-08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Formula: net contracted sales multiplied by the Income Tax assumption.</t>
      </text>
    </comment>
    <comment ref="G34" authorId="3" shapeId="0" xr:uid="{00000000-0006-0000-08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Cash-only VAT budget. Excluded from Unit P&amp;L and linked to gross forecast sales receipts in Cash Flow.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tc={BDDF98E8-6F30-9D6A-714A-17145FEE3EFC}</author>
    <author>tc={BABFDBD5-1AEB-A583-15EE-27D8ECFB4CD6}</author>
  </authors>
  <commentList>
    <comment ref="B6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legacy Info tab. Used only when a monthly FX rate is unavailable.</t>
      </text>
    </comment>
    <comment ref="B8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legacy Info tab. Applied to the six core hard-cost categories, excluding New Infrastructure.</t>
      </text>
    </comment>
  </commentList>
</comments>
</file>

<file path=xl/sharedStrings.xml><?xml version="1.0" encoding="utf-8"?>
<sst xmlns="http://schemas.openxmlformats.org/spreadsheetml/2006/main" count="3400" uniqueCount="1093">
  <si>
    <t>Kalindo Cove - Villa Development Underwriting &amp; Cash Control</t>
  </si>
  <si>
    <t>Model overview</t>
  </si>
  <si>
    <t>Field</t>
  </si>
  <si>
    <t>Value</t>
  </si>
  <si>
    <t>Model version</t>
  </si>
  <si>
    <t>v3.1</t>
  </si>
  <si>
    <t>Last updated</t>
  </si>
  <si>
    <t>Actuals through</t>
  </si>
  <si>
    <t>Forecast through</t>
  </si>
  <si>
    <t>Reporting currency</t>
  </si>
  <si>
    <t>USD</t>
  </si>
  <si>
    <t>Workbook map</t>
  </si>
  <si>
    <t>Formula / input legend</t>
  </si>
  <si>
    <t>Tab</t>
  </si>
  <si>
    <t>Purpose</t>
  </si>
  <si>
    <t>Data type</t>
  </si>
  <si>
    <t>Notes</t>
  </si>
  <si>
    <t>Go to tab</t>
  </si>
  <si>
    <t>Class</t>
  </si>
  <si>
    <t>Font</t>
  </si>
  <si>
    <t>Fill</t>
  </si>
  <si>
    <t>Meaning</t>
  </si>
  <si>
    <t>Action</t>
  </si>
  <si>
    <t>Dashboard</t>
  </si>
  <si>
    <t>Executive KPIs and charts</t>
  </si>
  <si>
    <t>Output</t>
  </si>
  <si>
    <t>Presentation view</t>
  </si>
  <si>
    <t>Open Dashboard</t>
  </si>
  <si>
    <t>Editable input</t>
  </si>
  <si>
    <t>Blue</t>
  </si>
  <si>
    <t>White</t>
  </si>
  <si>
    <t>User-controlled assumption</t>
  </si>
  <si>
    <t>Update deliberately</t>
  </si>
  <si>
    <t>Unit P&amp;L</t>
  </si>
  <si>
    <t>Unit economics and margins</t>
  </si>
  <si>
    <t>Sales VAT excluded</t>
  </si>
  <si>
    <t>Open Unit P&amp;L</t>
  </si>
  <si>
    <t>Formula</t>
  </si>
  <si>
    <t>Black</t>
  </si>
  <si>
    <t>Same-sheet calculation</t>
  </si>
  <si>
    <t>Do not overwrite</t>
  </si>
  <si>
    <t>Cash Flow</t>
  </si>
  <si>
    <t>Monthly actual and forecast cash flow</t>
  </si>
  <si>
    <t>Calculation</t>
  </si>
  <si>
    <t>Single monthly time axis</t>
  </si>
  <si>
    <t>Open Cash Flow</t>
  </si>
  <si>
    <t>Linked formula</t>
  </si>
  <si>
    <t>Green</t>
  </si>
  <si>
    <t>Cross-sheet reference</t>
  </si>
  <si>
    <t>Trace to source tab</t>
  </si>
  <si>
    <t>Allocation</t>
  </si>
  <si>
    <t>Budget / actual / EAC by villa</t>
  </si>
  <si>
    <t>Formula-driven</t>
  </si>
  <si>
    <t>Open Allocation</t>
  </si>
  <si>
    <t>Control warning</t>
  </si>
  <si>
    <t>Red</t>
  </si>
  <si>
    <t>Pale red/yellow</t>
  </si>
  <si>
    <t>Exception or failed check</t>
  </si>
  <si>
    <t>Investigate</t>
  </si>
  <si>
    <t>Villas</t>
  </si>
  <si>
    <t>Unit register and sales / physical drivers</t>
  </si>
  <si>
    <t>Input + formulas</t>
  </si>
  <si>
    <t>One row per villa</t>
  </si>
  <si>
    <t>Open Villas</t>
  </si>
  <si>
    <t>Sales Plan</t>
  </si>
  <si>
    <t>Future gross receipt milestones</t>
  </si>
  <si>
    <t>Percentages must sum to 100%</t>
  </si>
  <si>
    <t>Open Sales Plan</t>
  </si>
  <si>
    <t>Budget</t>
  </si>
  <si>
    <t>Development budget, EAC, and cash schedule</t>
  </si>
  <si>
    <t>Direct unit inputs on right</t>
  </si>
  <si>
    <t>Open Budget</t>
  </si>
  <si>
    <t>Use instructions</t>
  </si>
  <si>
    <t>Inputs</t>
  </si>
  <si>
    <t>Core assumptions, FX, and category mapping</t>
  </si>
  <si>
    <t>Input</t>
  </si>
  <si>
    <t>Blue-font cells</t>
  </si>
  <si>
    <t>Open Inputs</t>
  </si>
  <si>
    <t>1. Refresh bank and transaction-ledger source rows.</t>
  </si>
  <si>
    <t>Vendors</t>
  </si>
  <si>
    <t>Vendor master and standard categories</t>
  </si>
  <si>
    <t>Master data</t>
  </si>
  <si>
    <t>Maintain vendor roles</t>
  </si>
  <si>
    <t>Open Vendors</t>
  </si>
  <si>
    <t>2. Update FX, villa sales assumptions, budget inputs, and receipt milestones.</t>
  </si>
  <si>
    <t>Outflows</t>
  </si>
  <si>
    <t>Actual payment ledger</t>
  </si>
  <si>
    <t>Source + formulas</t>
  </si>
  <si>
    <t>Reconciles by reference</t>
  </si>
  <si>
    <t>Open Outflows</t>
  </si>
  <si>
    <t>3. Review Budget EAC and Cash Flow funding requirements.</t>
  </si>
  <si>
    <t>Inflows</t>
  </si>
  <si>
    <t>Actual receipt ledger</t>
  </si>
  <si>
    <t>Open Inflows</t>
  </si>
  <si>
    <t>4. Resolve any FAIL or WARNING on Checks before relying on outputs.</t>
  </si>
  <si>
    <t>5. Record material scope, pricing, or timing changes in Change Log.</t>
  </si>
  <si>
    <t>6. Use Dashboard and Unit P&amp;L for management review.</t>
  </si>
  <si>
    <t>Kalindo Cove - Development Dashboard</t>
  </si>
  <si>
    <t>Executive view of unit economics, cost control, and forecast liquidity.</t>
  </si>
  <si>
    <t>← Back to Cover</t>
  </si>
  <si>
    <t>Gross revenue</t>
  </si>
  <si>
    <t>Development EAC</t>
  </si>
  <si>
    <t>Profit / (loss)</t>
  </si>
  <si>
    <t>Profit margin</t>
  </si>
  <si>
    <t>Peak funding need</t>
  </si>
  <si>
    <t>Cash received</t>
  </si>
  <si>
    <t>Costs paid</t>
  </si>
  <si>
    <t>Unit economics</t>
  </si>
  <si>
    <t>Villa</t>
  </si>
  <si>
    <t>Revenue USD</t>
  </si>
  <si>
    <t>EAC Cost USD</t>
  </si>
  <si>
    <t>Margin</t>
  </si>
  <si>
    <t>Cost control by section</t>
  </si>
  <si>
    <t>Section</t>
  </si>
  <si>
    <t>Budget USD</t>
  </si>
  <si>
    <t>Actual USD</t>
  </si>
  <si>
    <t>EAC USD</t>
  </si>
  <si>
    <t>Hard Costs</t>
  </si>
  <si>
    <t>Soft Costs</t>
  </si>
  <si>
    <t>Project Management</t>
  </si>
  <si>
    <t>Contingency</t>
  </si>
  <si>
    <t>Land</t>
  </si>
  <si>
    <t>Income Tax</t>
  </si>
  <si>
    <t>Other Costs</t>
  </si>
  <si>
    <t>Liquidity trend</t>
  </si>
  <si>
    <t>Month</t>
  </si>
  <si>
    <t>Ending Cash USD</t>
  </si>
  <si>
    <t>Actual / Forecast</t>
  </si>
  <si>
    <t>Kalindo Cove - Unit Economics</t>
  </si>
  <si>
    <t>Forecast-at-completion P&amp;L by villa. Sales VAT is excluded; income tax is included as a project cost.</t>
  </si>
  <si>
    <t>Line Item</t>
  </si>
  <si>
    <t>Units</t>
  </si>
  <si>
    <t>Horizon Ridge Top</t>
  </si>
  <si>
    <t>Horizon Ridge 3BDR</t>
  </si>
  <si>
    <t>4BDR Canopy House</t>
  </si>
  <si>
    <t>Meadow 1</t>
  </si>
  <si>
    <t>Meadow 2</t>
  </si>
  <si>
    <t>Palm Valley/E1</t>
  </si>
  <si>
    <t>Palm Valley/E2</t>
  </si>
  <si>
    <t>Palm Valley/E3</t>
  </si>
  <si>
    <t>Kiri 3</t>
  </si>
  <si>
    <t>Total</t>
  </si>
  <si>
    <t>Revenue</t>
  </si>
  <si>
    <t>Net sale price</t>
  </si>
  <si>
    <t>Delayed income</t>
  </si>
  <si>
    <t>Total revenue</t>
  </si>
  <si>
    <t>Costs</t>
  </si>
  <si>
    <t>Total development cost</t>
  </si>
  <si>
    <t>Returns</t>
  </si>
  <si>
    <t>%</t>
  </si>
  <si>
    <t>Profit on cost</t>
  </si>
  <si>
    <t>Revenue per buildup m²</t>
  </si>
  <si>
    <t>USD / m²</t>
  </si>
  <si>
    <t>Cost per buildup m²</t>
  </si>
  <si>
    <t>Cash</t>
  </si>
  <si>
    <t>Gross cash budget</t>
  </si>
  <si>
    <t>Actual cash received</t>
  </si>
  <si>
    <t>Remaining receipts</t>
  </si>
  <si>
    <t>Kalindo Cove - Monthly Cash Flow</t>
  </si>
  <si>
    <t>Actual transaction-ledger cash through Dec 2023 and formula-driven forecast thereafter. USD reporting.</t>
  </si>
  <si>
    <t>Line</t>
  </si>
  <si>
    <t>Budget / Gross</t>
  </si>
  <si>
    <t>Actual to Date</t>
  </si>
  <si>
    <t>Remaining</t>
  </si>
  <si>
    <t>Schedule Start</t>
  </si>
  <si>
    <t>Schedule End</t>
  </si>
  <si>
    <t>Actual</t>
  </si>
  <si>
    <t>Forecast</t>
  </si>
  <si>
    <t>Cash inflows</t>
  </si>
  <si>
    <t>Other income</t>
  </si>
  <si>
    <t>Total cash inflows</t>
  </si>
  <si>
    <t>Cash outflows</t>
  </si>
  <si>
    <t>Total cash outflows</t>
  </si>
  <si>
    <t>Net cash flow</t>
  </si>
  <si>
    <t>Beginning cash</t>
  </si>
  <si>
    <t>Ending cash</t>
  </si>
  <si>
    <t>Funding required</t>
  </si>
  <si>
    <t>Kalindo Cove - Cost Allocation</t>
  </si>
  <si>
    <t>Budget, actual, and EAC allocated to villas using direct estimates or formula-driven physical/revenue drivers.</t>
  </si>
  <si>
    <t>Budget ID</t>
  </si>
  <si>
    <t>Category</t>
  </si>
  <si>
    <t>Total USD</t>
  </si>
  <si>
    <t>Check</t>
  </si>
  <si>
    <t>Budget allocation</t>
  </si>
  <si>
    <t>TOTAL</t>
  </si>
  <si>
    <t>Actual allocation through cut-off</t>
  </si>
  <si>
    <t>EAC allocation</t>
  </si>
  <si>
    <t>Kalindo Cove - Villa Register</t>
  </si>
  <si>
    <t>Physical drivers, sales assumptions, allocation factors, and unit status.</t>
  </si>
  <si>
    <t>Villa ID</t>
  </si>
  <si>
    <t>Cluster</t>
  </si>
  <si>
    <t>Buyer</t>
  </si>
  <si>
    <t>Status</t>
  </si>
  <si>
    <t>Phase 1</t>
  </si>
  <si>
    <t>Building m²</t>
  </si>
  <si>
    <t>Outdoor m²</t>
  </si>
  <si>
    <t>Total buildup m²</t>
  </si>
  <si>
    <t>Land plot m²</t>
  </si>
  <si>
    <t>Net sale price USD</t>
  </si>
  <si>
    <t>Delayed income USD</t>
  </si>
  <si>
    <t>Gross cash budget USD</t>
  </si>
  <si>
    <t>Building factor</t>
  </si>
  <si>
    <t>Outdoor factor</t>
  </si>
  <si>
    <t>Buildup factor</t>
  </si>
  <si>
    <t>Land factor</t>
  </si>
  <si>
    <t>V01</t>
  </si>
  <si>
    <t>Horizon Villas</t>
  </si>
  <si>
    <t>Thomas Whitfield</t>
  </si>
  <si>
    <t>Sold / Contracted</t>
  </si>
  <si>
    <t>Yes</t>
  </si>
  <si>
    <t>V02</t>
  </si>
  <si>
    <t>Grant &amp; Petra</t>
  </si>
  <si>
    <t>V03</t>
  </si>
  <si>
    <t>Annelie</t>
  </si>
  <si>
    <t>V04</t>
  </si>
  <si>
    <t>Julien</t>
  </si>
  <si>
    <t>V05</t>
  </si>
  <si>
    <t>Unsold</t>
  </si>
  <si>
    <t>No</t>
  </si>
  <si>
    <t>V06</t>
  </si>
  <si>
    <t>Palm Valley</t>
  </si>
  <si>
    <t>V07</t>
  </si>
  <si>
    <t>V08</t>
  </si>
  <si>
    <t>V09</t>
  </si>
  <si>
    <t>TBD</t>
  </si>
  <si>
    <t>Driver checks</t>
  </si>
  <si>
    <t>Expected</t>
  </si>
  <si>
    <t>Difference</t>
  </si>
  <si>
    <t>Phase 1 villa count</t>
  </si>
  <si>
    <t>Kalindo Cove - Sales Receipt Plan</t>
  </si>
  <si>
    <t>Remaining gross contract receipts are distributed across four editable forecast milestones; actual receipts are ledger-linked.</t>
  </si>
  <si>
    <t>Milestone</t>
  </si>
  <si>
    <t>Forecast Date</t>
  </si>
  <si>
    <t>% of Remaining</t>
  </si>
  <si>
    <t>Gross Cash Budget USD</t>
  </si>
  <si>
    <t>Actual Received USD</t>
  </si>
  <si>
    <t>Remaining Receipts USD</t>
  </si>
  <si>
    <t>Planned Receipt USD</t>
  </si>
  <si>
    <t>M1</t>
  </si>
  <si>
    <t>M2</t>
  </si>
  <si>
    <t>M3</t>
  </si>
  <si>
    <t>M4</t>
  </si>
  <si>
    <t>Villa receipt control</t>
  </si>
  <si>
    <t>Gross Budget</t>
  </si>
  <si>
    <t>Actual Received</t>
  </si>
  <si>
    <t>Forecast Planned</t>
  </si>
  <si>
    <t>Kalindo Cove - Development Budget</t>
  </si>
  <si>
    <t>Central budget and schedule assumptions. Direct unit estimates are shown on the right; EAC updates automatically from actual outflows.</t>
  </si>
  <si>
    <t>Direct unit inputs (USD)</t>
  </si>
  <si>
    <t>Eligible villas (1 = include)</t>
  </si>
  <si>
    <t>Allocation helpers</t>
  </si>
  <si>
    <t>In Unit P&amp;L</t>
  </si>
  <si>
    <t>Allocation Basis</t>
  </si>
  <si>
    <t>Input Amount USD</t>
  </si>
  <si>
    <t>Total Budget USD</t>
  </si>
  <si>
    <t>Actual Paid USD</t>
  </si>
  <si>
    <t>Remaining USD</t>
  </si>
  <si>
    <t>Forecast Months</t>
  </si>
  <si>
    <t>Source / Notes</t>
  </si>
  <si>
    <t>Horizon Ridge Top2</t>
  </si>
  <si>
    <t>Horizon Ridge 3BDR3</t>
  </si>
  <si>
    <t>4BDR Canopy House4</t>
  </si>
  <si>
    <t>Meadow 15</t>
  </si>
  <si>
    <t>Meadow 26</t>
  </si>
  <si>
    <t>Palm Valley/E17</t>
  </si>
  <si>
    <t>Palm Valley/E28</t>
  </si>
  <si>
    <t>Palm Valley/E39</t>
  </si>
  <si>
    <t>Kiri 310</t>
  </si>
  <si>
    <t>Direct Denom</t>
  </si>
  <si>
    <t>Building Denom</t>
  </si>
  <si>
    <t>Plot Denom</t>
  </si>
  <si>
    <t>Revenue Denom</t>
  </si>
  <si>
    <t>Equal Denom</t>
  </si>
  <si>
    <t>Selected Denom</t>
  </si>
  <si>
    <t>Horizon Ridge Top Weight</t>
  </si>
  <si>
    <t>Horizon Ridge 3BDR Weight</t>
  </si>
  <si>
    <t>4BDR Canopy House Weight</t>
  </si>
  <si>
    <t>Meadow 1 Weight</t>
  </si>
  <si>
    <t>Meadow 2 Weight</t>
  </si>
  <si>
    <t>Palm Valley/E1 Weight</t>
  </si>
  <si>
    <t>Palm Valley/E2 Weight</t>
  </si>
  <si>
    <t>Palm Valley/E3 Weight</t>
  </si>
  <si>
    <t>Kiri 3 Weight</t>
  </si>
  <si>
    <t>HC01</t>
  </si>
  <si>
    <t>Preliminaries</t>
  </si>
  <si>
    <t>Direct</t>
  </si>
  <si>
    <t>Phase 1 direct estimate</t>
  </si>
  <si>
    <t>HC02</t>
  </si>
  <si>
    <t>Structure &amp; Architecture</t>
  </si>
  <si>
    <t>HC03</t>
  </si>
  <si>
    <t>MEP</t>
  </si>
  <si>
    <t>HC04</t>
  </si>
  <si>
    <t>Provisional Sum</t>
  </si>
  <si>
    <t>HC05</t>
  </si>
  <si>
    <t>Landscaping</t>
  </si>
  <si>
    <t>HC06</t>
  </si>
  <si>
    <t>Network &amp; Infrastructure upgrade</t>
  </si>
  <si>
    <t>HC07</t>
  </si>
  <si>
    <t>New Infrastructure</t>
  </si>
  <si>
    <t>Source schedule</t>
  </si>
  <si>
    <t>SC01</t>
  </si>
  <si>
    <t>Architect Cost</t>
  </si>
  <si>
    <t>Building</t>
  </si>
  <si>
    <t>Source: Cost Allocation tab</t>
  </si>
  <si>
    <t>SC02</t>
  </si>
  <si>
    <t>Interior Designer</t>
  </si>
  <si>
    <t>Includes SDK budget</t>
  </si>
  <si>
    <t>SC03</t>
  </si>
  <si>
    <t>Landscape Designer</t>
  </si>
  <si>
    <t>SC04</t>
  </si>
  <si>
    <t>Structure Engineer</t>
  </si>
  <si>
    <t>SC05</t>
  </si>
  <si>
    <t>MEP Consultant</t>
  </si>
  <si>
    <t>SC06</t>
  </si>
  <si>
    <t>Quantity Surveyor</t>
  </si>
  <si>
    <t>SC07</t>
  </si>
  <si>
    <t>Notary</t>
  </si>
  <si>
    <t>Plot</t>
  </si>
  <si>
    <t>SC08</t>
  </si>
  <si>
    <t>Tax &amp; legal advice</t>
  </si>
  <si>
    <t>SC09</t>
  </si>
  <si>
    <t>Other professional fees</t>
  </si>
  <si>
    <t>SC10</t>
  </si>
  <si>
    <t>Land Survey</t>
  </si>
  <si>
    <t>SC11</t>
  </si>
  <si>
    <t>Soil Test</t>
  </si>
  <si>
    <t>SC12</t>
  </si>
  <si>
    <t>MEP Engineering</t>
  </si>
  <si>
    <t>SC13</t>
  </si>
  <si>
    <t>Sitegrid / Other QS</t>
  </si>
  <si>
    <t>Actual-only category</t>
  </si>
  <si>
    <t>PM01</t>
  </si>
  <si>
    <t>Staff</t>
  </si>
  <si>
    <t>Source: staffing schedule</t>
  </si>
  <si>
    <t>PM02</t>
  </si>
  <si>
    <t>A&amp;G Allocation</t>
  </si>
  <si>
    <t>Source: A&amp;G allocation</t>
  </si>
  <si>
    <t>PM03</t>
  </si>
  <si>
    <t>Actual-only reimbursements</t>
  </si>
  <si>
    <t>PM04</t>
  </si>
  <si>
    <t>20% of core hard costs; excludes new infrastructure</t>
  </si>
  <si>
    <t>HC08</t>
  </si>
  <si>
    <t>Interior Cost</t>
  </si>
  <si>
    <t>FF&amp;E estimate</t>
  </si>
  <si>
    <t>LC01</t>
  </si>
  <si>
    <t>Land Costs</t>
  </si>
  <si>
    <t>Cash-flow land budget</t>
  </si>
  <si>
    <t>TX01</t>
  </si>
  <si>
    <t>Income tax</t>
  </si>
  <si>
    <t>2.5% of net contracted villa sales</t>
  </si>
  <si>
    <t>TX02</t>
  </si>
  <si>
    <t>Sales Tax</t>
  </si>
  <si>
    <t>Sales VAT</t>
  </si>
  <si>
    <t>Cash-only VAT remittance tied to forecast receipts</t>
  </si>
  <si>
    <t>OC01</t>
  </si>
  <si>
    <t>Bank fees</t>
  </si>
  <si>
    <t>Actual-only</t>
  </si>
  <si>
    <t>OC02</t>
  </si>
  <si>
    <t>Withholding tax</t>
  </si>
  <si>
    <t>OC03</t>
  </si>
  <si>
    <t>Miscellaneous</t>
  </si>
  <si>
    <t>OC04</t>
  </si>
  <si>
    <t>Unmapped</t>
  </si>
  <si>
    <t>Control category; expected to remain zero</t>
  </si>
  <si>
    <t>TOTAL DEVELOPMENT BUDGET</t>
  </si>
  <si>
    <t>Kalindo Cove - Model Inputs</t>
  </si>
  <si>
    <t>Blue-font cells are editable assumptions; source data is retained as black hardcodes; formulas are black/green.</t>
  </si>
  <si>
    <t>Core assumptions</t>
  </si>
  <si>
    <t>Monthly FX assumptions</t>
  </si>
  <si>
    <t>Category mapping</t>
  </si>
  <si>
    <t>Assumption</t>
  </si>
  <si>
    <t>Source / rationale</t>
  </si>
  <si>
    <t>Year</t>
  </si>
  <si>
    <t>Average IDR / USD</t>
  </si>
  <si>
    <t>Original Type</t>
  </si>
  <si>
    <t>Standard Category</t>
  </si>
  <si>
    <t>Treatment</t>
  </si>
  <si>
    <t>Review Note</t>
  </si>
  <si>
    <t>Fallback IDR / USD</t>
  </si>
  <si>
    <t>IDR per USD</t>
  </si>
  <si>
    <t>Source Info tab</t>
  </si>
  <si>
    <t>2022-01</t>
  </si>
  <si>
    <t>Cash outflow</t>
  </si>
  <si>
    <t>VAT rate</t>
  </si>
  <si>
    <t>2022-02</t>
  </si>
  <si>
    <t>Architect Common cost</t>
  </si>
  <si>
    <t>Contingency rate</t>
  </si>
  <si>
    <t>Source Info tab; applied to core hard costs</t>
  </si>
  <si>
    <t>2022-03</t>
  </si>
  <si>
    <t>Income tax rate</t>
  </si>
  <si>
    <t>% of net contracted sales</t>
  </si>
  <si>
    <t>Implied by prior P&amp;L</t>
  </si>
  <si>
    <t>2022-04</t>
  </si>
  <si>
    <t>Model start</t>
  </si>
  <si>
    <t>Month start</t>
  </si>
  <si>
    <t>Prior cash-flow horizon</t>
  </si>
  <si>
    <t>2022-05</t>
  </si>
  <si>
    <t>Month end</t>
  </si>
  <si>
    <t>Latest actual period</t>
  </si>
  <si>
    <t>2022-06</t>
  </si>
  <si>
    <t>Marketing &amp; Sales</t>
  </si>
  <si>
    <t>First forecast month</t>
  </si>
  <si>
    <t>Derived from actuals cut-off</t>
  </si>
  <si>
    <t>2022-07</t>
  </si>
  <si>
    <t>Opening operational cash</t>
  </si>
  <si>
    <t>Prior cash-flow convention</t>
  </si>
  <si>
    <t>2022-08</t>
  </si>
  <si>
    <t>2022-09</t>
  </si>
  <si>
    <t>Model conventions</t>
  </si>
  <si>
    <t>2022-10</t>
  </si>
  <si>
    <t>Convention</t>
  </si>
  <si>
    <t>Policy</t>
  </si>
  <si>
    <t>Owner</t>
  </si>
  <si>
    <t>2022-11</t>
  </si>
  <si>
    <t>Project Management Costs</t>
  </si>
  <si>
    <t>Currency</t>
  </si>
  <si>
    <t>USD reporting; IDR source transactions translated at monthly average FX</t>
  </si>
  <si>
    <t>Finance</t>
  </si>
  <si>
    <t>Active</t>
  </si>
  <si>
    <t>2022-12</t>
  </si>
  <si>
    <t>Periods through 2023-12 are Actual; Jan 2024 onward is Forecast</t>
  </si>
  <si>
    <t>2023-01</t>
  </si>
  <si>
    <t>Sitegrid?</t>
  </si>
  <si>
    <t>Cash signs</t>
  </si>
  <si>
    <t>Inflows positive; outflows shown as positive costs; net cash flow = inflows - outflows</t>
  </si>
  <si>
    <t>2023-02</t>
  </si>
  <si>
    <t>Budget EAC</t>
  </si>
  <si>
    <t>EAC = Actual paid + max(Budget - Actual paid, 0)</t>
  </si>
  <si>
    <t>2023-03</t>
  </si>
  <si>
    <t>Unit allocation</t>
  </si>
  <si>
    <t>Direct estimates where available; otherwise driver-weighted across eligible villas</t>
  </si>
  <si>
    <t>Development</t>
  </si>
  <si>
    <t>2023-04</t>
  </si>
  <si>
    <t>2023-05</t>
  </si>
  <si>
    <t>VAT Over Sales</t>
  </si>
  <si>
    <t>2023-06</t>
  </si>
  <si>
    <t>Withholding Tax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</si>
  <si>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</si>
  <si>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</si>
  <si>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</si>
  <si>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</si>
  <si>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</si>
  <si>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</si>
  <si>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</si>
  <si>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</si>
  <si>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</si>
  <si>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</si>
  <si>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</si>
  <si>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</si>
  <si>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</si>
  <si>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</si>
  <si>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</si>
  <si>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</si>
  <si>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</si>
  <si>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</si>
  <si>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</si>
  <si>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</si>
  <si>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</si>
  <si>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</si>
  <si>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</si>
  <si>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</si>
  <si>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</si>
  <si>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</si>
  <si>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</si>
  <si>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</si>
  <si>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</si>
  <si>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</si>
  <si>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Kalindo Cove - Vendor Master</t>
  </si>
  <si>
    <t>Vendor directory standardized for cost classification and cash control.</t>
  </si>
  <si>
    <t>Vendor ID</t>
  </si>
  <si>
    <t>Vendor</t>
  </si>
  <si>
    <t>Original Role</t>
  </si>
  <si>
    <t>VEN001</t>
  </si>
  <si>
    <t>Bumi Cipta Struktur</t>
  </si>
  <si>
    <t>Imported from Info tab</t>
  </si>
  <si>
    <t>VEN002</t>
  </si>
  <si>
    <t>Wayan Suartika</t>
  </si>
  <si>
    <t>VEN003</t>
  </si>
  <si>
    <t>CV Lestari Tanah</t>
  </si>
  <si>
    <t>VEN004</t>
  </si>
  <si>
    <t>CV Tirta Rekayasa</t>
  </si>
  <si>
    <t>VEN005</t>
  </si>
  <si>
    <t>PPAT Wulandari</t>
  </si>
  <si>
    <t>VEN006</t>
  </si>
  <si>
    <t>SDK Interiors</t>
  </si>
  <si>
    <t>VEN007</t>
  </si>
  <si>
    <t>Reza P</t>
  </si>
  <si>
    <t>VEN008</t>
  </si>
  <si>
    <t>Meridian Tax Advisors</t>
  </si>
  <si>
    <t>VEN009</t>
  </si>
  <si>
    <t>Clearpoint Legal Solutions</t>
  </si>
  <si>
    <t>VEN010</t>
  </si>
  <si>
    <t>Dewi Santoso</t>
  </si>
  <si>
    <t>VEN011</t>
  </si>
  <si>
    <t>CV. Ardana Solusi Engineering</t>
  </si>
  <si>
    <t>VEN012</t>
  </si>
  <si>
    <t>BTR</t>
  </si>
  <si>
    <t>VEN013</t>
  </si>
  <si>
    <t>Nusantara Studio</t>
  </si>
  <si>
    <t>VEN014</t>
  </si>
  <si>
    <t>Internal reinbursment</t>
  </si>
  <si>
    <t>VEN015</t>
  </si>
  <si>
    <t>Java PM</t>
  </si>
  <si>
    <t>VEN016</t>
  </si>
  <si>
    <t>VEN017</t>
  </si>
  <si>
    <t>VEN018</t>
  </si>
  <si>
    <t>Bank Monthly Fees</t>
  </si>
  <si>
    <t>VEN019</t>
  </si>
  <si>
    <t>VEN020</t>
  </si>
  <si>
    <t>VEN021</t>
  </si>
  <si>
    <t>TBD_Interior Cost</t>
  </si>
  <si>
    <t>VEN022</t>
  </si>
  <si>
    <t>TBD_Preliminaries</t>
  </si>
  <si>
    <t>VEN023</t>
  </si>
  <si>
    <t>TBD_Structure &amp; Architecture</t>
  </si>
  <si>
    <t>VEN024</t>
  </si>
  <si>
    <t>TBD_MEP</t>
  </si>
  <si>
    <t>VEN025</t>
  </si>
  <si>
    <t>TBD_Provisional Sum</t>
  </si>
  <si>
    <t>VEN026</t>
  </si>
  <si>
    <t>TBD_Landscaping</t>
  </si>
  <si>
    <t>VEN027</t>
  </si>
  <si>
    <t>TBD_Network &amp; Infrastructure upgrade</t>
  </si>
  <si>
    <t>VEN028</t>
  </si>
  <si>
    <t>TBD_Interior Designer</t>
  </si>
  <si>
    <t>VEN029</t>
  </si>
  <si>
    <t>TBD_Landscape Designer</t>
  </si>
  <si>
    <t>VEN030</t>
  </si>
  <si>
    <t>TBD_Mep Engineering</t>
  </si>
  <si>
    <t>Mep Engineering</t>
  </si>
  <si>
    <t>VEN031</t>
  </si>
  <si>
    <t>VEN032</t>
  </si>
  <si>
    <t>VEN033</t>
  </si>
  <si>
    <t>Kalindo Resort A&amp;G allocation</t>
  </si>
  <si>
    <t>VEN034</t>
  </si>
  <si>
    <t>OFFICIAL Partners New Development</t>
  </si>
  <si>
    <t>VEN035</t>
  </si>
  <si>
    <t>3. Land Costs</t>
  </si>
  <si>
    <t>VEN036</t>
  </si>
  <si>
    <t>4. Income tax</t>
  </si>
  <si>
    <t>Kalindo Cove - IDR Bank Feed</t>
  </si>
  <si>
    <t>Raw bank statement feed. Imported values are preserved; summary checks are formula-driven.</t>
  </si>
  <si>
    <t>Opening balance</t>
  </si>
  <si>
    <t>Closing balance</t>
  </si>
  <si>
    <t>Total debits</t>
  </si>
  <si>
    <t>Total credits</t>
  </si>
  <si>
    <t>Movement check</t>
  </si>
  <si>
    <t>Account</t>
  </si>
  <si>
    <t>Post Date</t>
  </si>
  <si>
    <t>Effective Date</t>
  </si>
  <si>
    <t>Cheque No</t>
  </si>
  <si>
    <t>Description / Remarks</t>
  </si>
  <si>
    <t>Debit IDR</t>
  </si>
  <si>
    <t>Credit IDR</t>
  </si>
  <si>
    <t>Reported Balance IDR</t>
  </si>
  <si>
    <t>Transaction Code</t>
  </si>
  <si>
    <t>Reference No</t>
  </si>
  <si>
    <t>Internal Transfer</t>
  </si>
  <si>
    <t>Net Movement</t>
  </si>
  <si>
    <t>Ledger Match</t>
  </si>
  <si>
    <t>Account : 254323078101/KALINDO ADVENTURE SPORTS(IDR)</t>
  </si>
  <si>
    <t>BizChannel  TRF FR KALINDO ADVENTURE Convert USD 10.000 to IDR</t>
  </si>
  <si>
    <t>349856ZA96789478</t>
  </si>
  <si>
    <t>CREDIT INTEREST</t>
  </si>
  <si>
    <t>JE5658549038347</t>
  </si>
  <si>
    <t>WITHHOLDING TAX</t>
  </si>
  <si>
    <t>SJ6969434941072</t>
  </si>
  <si>
    <t>CHEQUE STAMP DUTY</t>
  </si>
  <si>
    <t>103256JONW149012</t>
  </si>
  <si>
    <t>583036BMNS929476</t>
  </si>
  <si>
    <t>Nusantara Studio 5 : 2nd DP Kalindo New Development BANK ARTHA 46         PT Nusantara Studio 5 05892527            832949470389618567</t>
  </si>
  <si>
    <t>789436LW32321890</t>
  </si>
  <si>
    <t>BizChannel  TRF FR KALINDO ADVENTURE Convert USD 7000 Kalindo 2.0</t>
  </si>
  <si>
    <t>896181GB21674365</t>
  </si>
  <si>
    <t>Wulandari Kusuma: DP Villa 2.0 project BANK SEJAHTERA INDONES Wulandari Kusuma Sa 018727252361234     125878943634521650</t>
  </si>
  <si>
    <t>329652NI58781090</t>
  </si>
  <si>
    <t>MONTHLY ADMIN FEE</t>
  </si>
  <si>
    <t>ON6907874141456</t>
  </si>
  <si>
    <t>BizChannel  TRF FR KALINDO ADVENTURE Inhouse Transfer</t>
  </si>
  <si>
    <t>416147GJ49410369</t>
  </si>
  <si>
    <t>Nusantara Studio 5: Kalindo 2.0 - BP Horizon Ridge BANK ARTHA 46         PT Nusantara Studio 5 05892527            929830747850127098</t>
  </si>
  <si>
    <t>672345KL43676303</t>
  </si>
  <si>
    <t>GP0703412505290</t>
  </si>
  <si>
    <t>878321ED85434149</t>
  </si>
  <si>
    <t>Nusantara Studio 5: DP of Design Development BANK ARTHA 46         PT Nusantara Studio 5 05892527            032727252305296387</t>
  </si>
  <si>
    <t>341856FW98787610</t>
  </si>
  <si>
    <t>QV8721290703850</t>
  </si>
  <si>
    <t>BizChannel  TRF FR KALINDO ADVENTURE</t>
  </si>
  <si>
    <t>103692PG36943632</t>
  </si>
  <si>
    <t>CV Ardana : Kalindo 2.0- Inv 054 055 BANK ARTHA 46         CV. Ardana Solusi E 5694967494          618767416721610587</t>
  </si>
  <si>
    <t>892787WD01214341</t>
  </si>
  <si>
    <t>AV8309214583252</t>
  </si>
  <si>
    <t>AT8967458325678</t>
  </si>
  <si>
    <t>XW7072949658981</t>
  </si>
  <si>
    <t>BizChannel  TRF FR KALINDO ADVENTURE Convert USD 80000</t>
  </si>
  <si>
    <t>761254FU36561470</t>
  </si>
  <si>
    <t>Nusantara Studio 5:PR065403/JUN2023 BANK ARTHA 46         PT Nusantara Studio 5 05892527            769612167070949412</t>
  </si>
  <si>
    <t>369214DI58987256</t>
  </si>
  <si>
    <t>BG1232547056769</t>
  </si>
  <si>
    <t>ST2721036749854</t>
  </si>
  <si>
    <t>BTR: Ref.Sub/23067/GC/VI/2023 PT BANK MERIDIAN INDONE PT Bintang Trirasa 909030129654        509632703214749656</t>
  </si>
  <si>
    <t>274709CR41250527</t>
  </si>
  <si>
    <t>BTR: Ref.Sub/2306/GC/III/2023 PT BANK MERIDIAN INDONE PT Bintang Trirasa 909030129654        072969416141612381</t>
  </si>
  <si>
    <t>787276ZA10981018</t>
  </si>
  <si>
    <t>IZ2901418767878</t>
  </si>
  <si>
    <t>BizChannel  TRF FR KALINDO ADVENTURE Convert USD 10000 Kalindo 2.0</t>
  </si>
  <si>
    <t>876521UL01294721</t>
  </si>
  <si>
    <t>Nusantara Studio 5: DP Architectural Kiri Amahu 3 BANK ARTHA 46         PT Nusantara Studio 5 05892527            474121690527034187</t>
  </si>
  <si>
    <t>030963UD01214763</t>
  </si>
  <si>
    <t>TA7292109410165</t>
  </si>
  <si>
    <t>EV8789036161834</t>
  </si>
  <si>
    <t>Java PM: Kalindo 2.0- Room Rental 1mo BMA (BANK MITRA A Ayu Kartika Le 8743412121          125616761056925210</t>
  </si>
  <si>
    <t>109410ZO90921436</t>
  </si>
  <si>
    <t>BizChannel  TRF FR KALINDO ADVENTURE Convert USD 20000 Kalindo 2.0</t>
  </si>
  <si>
    <t>743476RE32967898</t>
  </si>
  <si>
    <t>Notary Wulandari: alindo 2.0-  HGB Split BANK SEJAHTERA INDONES Wulandari Kusuma Sa 018727252361234     345210343092389690</t>
  </si>
  <si>
    <t>561412LI56523296</t>
  </si>
  <si>
    <t>ED4383418541816</t>
  </si>
  <si>
    <t>OH0163630561878</t>
  </si>
  <si>
    <t>ZK9496565450921</t>
  </si>
  <si>
    <t>GD6521072123652</t>
  </si>
  <si>
    <t>Clearpoint: Kalindo 2.0- Inv FX23-CIAS-2021 BANK CENDANA INDONE PT Solidatama Sukse 1218947694          901018341636901836</t>
  </si>
  <si>
    <t>694127GP81832985</t>
  </si>
  <si>
    <t>Ardana Solusi: Kalindo 2.0- Inv 183/HSE/IX BANK ARTHA 46         CV. Ardana Solusi 5694967494          121690107836769830</t>
  </si>
  <si>
    <t>832561OD41050587</t>
  </si>
  <si>
    <t>BizChannel  TRF FR KALINDO ADVENTURE Convert USD10000 to KALINDO 2.0Rp</t>
  </si>
  <si>
    <t>565294FC34705496</t>
  </si>
  <si>
    <t>Ardana Solusi Eng:Inv187188 BANK ARTHA 46         CV. Ardana Solusi 5694967494          632705896547616501</t>
  </si>
  <si>
    <t>634921GR87230769</t>
  </si>
  <si>
    <t>063</t>
  </si>
  <si>
    <t>JE7092983416185</t>
  </si>
  <si>
    <t>ST8521676709036</t>
  </si>
  <si>
    <t>DG7232963218529</t>
  </si>
  <si>
    <t>BTR: Inv 2 IN202300322 PT BANK MERIDIAN INDONE PT Bintang Trirasa 909030129654        163450905072947896</t>
  </si>
  <si>
    <t>216709MX27276367</t>
  </si>
  <si>
    <t>BTR: Inv 2 IN202300322 BP PT BANK MERIDIAN INDONE PT Bintang Trirasa 909030129654        345858909452745652</t>
  </si>
  <si>
    <t>654389YB83072989</t>
  </si>
  <si>
    <t>AT2943036107250</t>
  </si>
  <si>
    <t>Kalindo Cove - USD Bank Feed</t>
  </si>
  <si>
    <t>Debit USD</t>
  </si>
  <si>
    <t>Credit USD</t>
  </si>
  <si>
    <t>Reported Balance USD</t>
  </si>
  <si>
    <t>Account : 812741832741/KALINDO ADVENTURE SPORTS(USD)</t>
  </si>
  <si>
    <t>BizChannel  TRF FR KALINDO ADVENTURE Payment from Thomas Whitfield</t>
  </si>
  <si>
    <t>234907AV87236149</t>
  </si>
  <si>
    <t>BizChannel TRF TO KALINDO ADVENTURE Convert USD 10.000 to IDR</t>
  </si>
  <si>
    <t>YV6327672963098</t>
  </si>
  <si>
    <t>XU7214963670187</t>
  </si>
  <si>
    <t>BizChannel TRF TO KALINDO ADVENTURE Convert USD 7000 Kalindo 2.0</t>
  </si>
  <si>
    <t>GF2189290945038</t>
  </si>
  <si>
    <t>BizChannel TRF TO KALINDO ADVENTURE Inhouse Transfer</t>
  </si>
  <si>
    <t>MH2565834981052</t>
  </si>
  <si>
    <t>KB2381458963696</t>
  </si>
  <si>
    <t>INCOMING SWIFT 4767278983470105 THOMAS BRADLEY WHITFIELD TTEE INV 001/KAS/KALINDO 2.0/0223</t>
  </si>
  <si>
    <t>212945YFKP610769</t>
  </si>
  <si>
    <t>ID0909076389656</t>
  </si>
  <si>
    <t>ZW7498761674143</t>
  </si>
  <si>
    <t>UH4723036709274</t>
  </si>
  <si>
    <t>KN6125254563298</t>
  </si>
  <si>
    <t>UF4183632545876</t>
  </si>
  <si>
    <t>RO9852169296369</t>
  </si>
  <si>
    <t>BizChannel TRF TO KALINDO ADVENTURE</t>
  </si>
  <si>
    <t>QX6965636583476</t>
  </si>
  <si>
    <t>MR8767298527636</t>
  </si>
  <si>
    <t>LU5634981056961</t>
  </si>
  <si>
    <t>LA7672123852385</t>
  </si>
  <si>
    <t>UX8585298763616</t>
  </si>
  <si>
    <t>OR4101096561892</t>
  </si>
  <si>
    <t>BG1610125476569</t>
  </si>
  <si>
    <t>BizChannel TRF TO KALINDO ADVENTURE Convert USD 80000</t>
  </si>
  <si>
    <t>RM No: 2361670541456907496 SD Meridian INV 1161 ARCHITECTUREFEE 48 Elm Court Lane ET67ARKB07214905274543</t>
  </si>
  <si>
    <t>965296J456525856</t>
  </si>
  <si>
    <t>WF8589430103694</t>
  </si>
  <si>
    <t>AJ2107296525634</t>
  </si>
  <si>
    <t>CZ6725832381612</t>
  </si>
  <si>
    <t>BizChannel TRF TO KALINDO ADVENTURE Convert USD 10000 Kalindo 2.0</t>
  </si>
  <si>
    <t>NK7092121418705</t>
  </si>
  <si>
    <t>HO9674709096129</t>
  </si>
  <si>
    <t>BizChannel TRF TO KALINDO ADVENTURE Convert USD 20000 Kalindo 2.0</t>
  </si>
  <si>
    <t>HU3614909092385</t>
  </si>
  <si>
    <t>QV0921296387634</t>
  </si>
  <si>
    <t>HW5672347252941</t>
  </si>
  <si>
    <t>QD8367672121830</t>
  </si>
  <si>
    <t>ZW9278945812383</t>
  </si>
  <si>
    <t>YF0543896941258</t>
  </si>
  <si>
    <t>BizChannel TRF TO KALINDO ADVENTURE Convert USD10000 to KALINDO 2.0Rp</t>
  </si>
  <si>
    <t>XI1472707818165</t>
  </si>
  <si>
    <t>RM No: 0743872705294321210 SD Meridian INV 1182 1161 48 Elm Court Lane ET67ARKB07214905274543</t>
  </si>
  <si>
    <t>3292725878367016</t>
  </si>
  <si>
    <t>089</t>
  </si>
  <si>
    <t>PA9018101056181</t>
  </si>
  <si>
    <t>LO1812527870763</t>
  </si>
  <si>
    <t>096749WR21632747</t>
  </si>
  <si>
    <t>JW9290989456127</t>
  </si>
  <si>
    <t>INCOMING SWIFT K3210305 767 9 ISABELLA MARIE CONTI PAID AS SHAREHOLDER OF PT CONTI PRIMA</t>
  </si>
  <si>
    <t>189836XIVE785250</t>
  </si>
  <si>
    <t>INCOMING SWIFT 4385630501672549 KADEK LARASATI DEWI S.HM.KN. /INV/DP PEMBELIAN TANAH</t>
  </si>
  <si>
    <t>143652NQXG385870</t>
  </si>
  <si>
    <t>Kalindo Cove - Outflow Ledger</t>
  </si>
  <si>
    <t>Transaction-level actual outflows translated at monthly average FX and reconciled to bank references.</t>
  </si>
  <si>
    <t>Actual paid through cut-off</t>
  </si>
  <si>
    <t>Unmapped USD</t>
  </si>
  <si>
    <t>Unmatched bank rows</t>
  </si>
  <si>
    <t>Txn ID</t>
  </si>
  <si>
    <t>Date</t>
  </si>
  <si>
    <t>Bank / Account</t>
  </si>
  <si>
    <t>Source</t>
  </si>
  <si>
    <t>Villa Tag</t>
  </si>
  <si>
    <t>Amount IDR</t>
  </si>
  <si>
    <t>FX IDR / USD</t>
  </si>
  <si>
    <t>Amount USD</t>
  </si>
  <si>
    <t>Period</t>
  </si>
  <si>
    <t>Bank Status</t>
  </si>
  <si>
    <t>Budget Flag</t>
  </si>
  <si>
    <t>Description / Note</t>
  </si>
  <si>
    <t>Source Row</t>
  </si>
  <si>
    <t>OUT-0001</t>
  </si>
  <si>
    <t>Other</t>
  </si>
  <si>
    <t>Sari</t>
  </si>
  <si>
    <t>OPEX IDR-100222</t>
  </si>
  <si>
    <t>Common</t>
  </si>
  <si>
    <t>Budgeted</t>
  </si>
  <si>
    <t>Kalindo 2.0-Nusantara Studio : Architectural fee of Palm Valley Kirana Hai &amp; Horizon Ridge Kalindo</t>
  </si>
  <si>
    <t>OUT-0002</t>
  </si>
  <si>
    <t>OPEX IDR-280422</t>
  </si>
  <si>
    <t>Kalindo 2.0-Nusantara Studio : Additional works for Kirana Hai &amp; Horizon Ridge Villa Project - Creating 3D Models for selected furnitures images &amp; video adjustment &amp; furniture placement</t>
  </si>
  <si>
    <t>OUT-0003</t>
  </si>
  <si>
    <t>OPEX IDR-200522</t>
  </si>
  <si>
    <t>Kalindo 2.0-Nusantara Studio : DP architectural services Kalindo New Dev Project (Villas Former Cove)</t>
  </si>
  <si>
    <t>OUT-0004</t>
  </si>
  <si>
    <t>OPEX IDR-020622</t>
  </si>
  <si>
    <t>Kalindo 2.0-Nusantara Studio : Additional fee for the revision interior for 2 stable villas at Palm Valley Kirana Hai &amp; Horizon Ridge Kalindo $ 500</t>
  </si>
  <si>
    <t>OUT-0005</t>
  </si>
  <si>
    <t>OPEX IDR-280622</t>
  </si>
  <si>
    <t>Kalindo 2.0-Nusantara Studio : 2nd DP architectural services Kalindo New Dev for Villa on the Cove &amp; Canopy House project at $ 31,851 (from total : $ 131,170, 1st DP : $ 7,500)</t>
  </si>
  <si>
    <t>OUT-0006</t>
  </si>
  <si>
    <t>OPEX IDR-140722</t>
  </si>
  <si>
    <t>KALINDO 2.0 -Nadia : Exp Claim : Taxi from Office to Nusantara Studio Office</t>
  </si>
  <si>
    <t>OUT-0007</t>
  </si>
  <si>
    <t>OPEX IDR-030922</t>
  </si>
  <si>
    <t>Kalindo 2.0-Meridian : New villa project - 60% drafting reservation agreement USD 605.90</t>
  </si>
  <si>
    <t>OUT-0008</t>
  </si>
  <si>
    <t>Kalindo 2.0-Meridian : New villa project - deposit for the review work USD 1,000</t>
  </si>
  <si>
    <t>OUT-0009</t>
  </si>
  <si>
    <t>OPEX IDR-291022</t>
  </si>
  <si>
    <t>Kalindo 2.0-Nusantara Studio : 50%DP architectural services for Horizon Ridge</t>
  </si>
  <si>
    <t>OUT-0010</t>
  </si>
  <si>
    <t>1022-Adjustment</t>
  </si>
  <si>
    <t>Kalindo 2.0-Santoso &amp; Partners : tax opinion on Development Kalindo</t>
  </si>
  <si>
    <t>OUT-0011</t>
  </si>
  <si>
    <t>OPEX IDR-071122</t>
  </si>
  <si>
    <t>Kalindo 2.0-Nusantara Studio : 50%DP IMB Drawing Villa at the Meadow</t>
  </si>
  <si>
    <t>OUT-0012</t>
  </si>
  <si>
    <t>Kalindo 2.0-Nusantara Studio : 25%DP Copied IMB Drawing Villa at the Meadow</t>
  </si>
  <si>
    <t>OUT-0013</t>
  </si>
  <si>
    <t>Kalindo 2.0-Nusantara Studio : 50%DP IMB Drawing Canopy House</t>
  </si>
  <si>
    <t>OUT-0014</t>
  </si>
  <si>
    <t>Kalindo 2.0-Nusantara Studio : 50%DP IMB Drawing 3Bedroom on Slope</t>
  </si>
  <si>
    <t>OUT-0015</t>
  </si>
  <si>
    <t>Kalindo 2.0-Bumi Cipta Struktur : 30%DP IMB Drawing Horizon Ridge Top Villa</t>
  </si>
  <si>
    <t>OUT-0016</t>
  </si>
  <si>
    <t>OPEX IDR-301122</t>
  </si>
  <si>
    <t>Kalindo 2.0-Sitegrid : Stage 2 bill of quantity calculation &amp; documentation (Lot 3 Villa D)</t>
  </si>
  <si>
    <t>OUT-0017</t>
  </si>
  <si>
    <t>Kalindo 2.0-Sitegrid : Stage 3 bill of quantity calculation &amp; documentation (Lot 3 Villa D)</t>
  </si>
  <si>
    <t>OUT-0018</t>
  </si>
  <si>
    <t>Kalindo 2.0-Bumi Cipta Struktur : 30%DP structure engineer Garden Villa</t>
  </si>
  <si>
    <t>OUT-0019</t>
  </si>
  <si>
    <t>Kalindo 2.0-Bumi Cipta Struktur : 30%DP structure engineer Canopy House</t>
  </si>
  <si>
    <t>OUT-0020</t>
  </si>
  <si>
    <t>Kalindo 2.0-Bumi Cipta Struktur : 30%DP structure engineer Hill Side Villa</t>
  </si>
  <si>
    <t>OUT-0021</t>
  </si>
  <si>
    <t>OPEX IDR-081222</t>
  </si>
  <si>
    <t>Kalindo 2.0-Nusantara Studio : architectural services of sorting boundaries at Kalindo New Dev + PPN (USD 1.665)</t>
  </si>
  <si>
    <t>OUT-0022</t>
  </si>
  <si>
    <t>OPEX IDR-131222</t>
  </si>
  <si>
    <t>Kalindo 2.0-Nusantara Studio : 50%DP IMB Kirana Hai Villa B (E2)</t>
  </si>
  <si>
    <t>OUT-0023</t>
  </si>
  <si>
    <t>Kalindo 2.0-Nusantara Studio : 50%DP IMB Kirana Hai Villa C (E3)</t>
  </si>
  <si>
    <t>OUT-0024</t>
  </si>
  <si>
    <t>GC 151222-01</t>
  </si>
  <si>
    <t>Kalindo 2.0-DW surveyer for clear area stable + cutting trees</t>
  </si>
  <si>
    <t>OUT-0025</t>
  </si>
  <si>
    <t>Kalindo 2.0-Chainsaw mechine for cutting trees at palm area</t>
  </si>
  <si>
    <t>OUT-0026</t>
  </si>
  <si>
    <t>Kalindo 2.0-Oli T2 + Bensin for land surveyer at stable</t>
  </si>
  <si>
    <t>OUT-0027</t>
  </si>
  <si>
    <t>OPEX IDR-151222</t>
  </si>
  <si>
    <t>Kalindo 2.0-Bumi Cipta : 30%DP Drawing - Villa E2 Kirana Hai</t>
  </si>
  <si>
    <t>OUT-0028</t>
  </si>
  <si>
    <t>Kalindo 2.0-Bumi Cipta : 30%DP Drawing - Villa E3 Kirana Hai</t>
  </si>
  <si>
    <t>OUT-0029</t>
  </si>
  <si>
    <t>GC 241222-01</t>
  </si>
  <si>
    <t>Kalindo 2.0-Tati Rahayu for Land surveyer</t>
  </si>
  <si>
    <t>OUT-0030</t>
  </si>
  <si>
    <t>Kalindo 2.0</t>
  </si>
  <si>
    <t>Cash Movements</t>
  </si>
  <si>
    <t>Unflagged</t>
  </si>
  <si>
    <t>OUT-0031</t>
  </si>
  <si>
    <t>Internal Allocation</t>
  </si>
  <si>
    <t>Jan 2023 A&amp;G Allocation</t>
  </si>
  <si>
    <t>OUT-0032</t>
  </si>
  <si>
    <t>KALINDO 2.0 IDR-020</t>
  </si>
  <si>
    <t>Kalindo 2.0-Nusantara Studio 5 : 2nd payment (25%) Copied IMB</t>
  </si>
  <si>
    <t>OUT-0033</t>
  </si>
  <si>
    <t>Kalindo 2.0-Nusantara Studio 5 : 50%BP IMB Drawing 3 Bedroom S</t>
  </si>
  <si>
    <t>OUT-0034</t>
  </si>
  <si>
    <t>Kalindo 2.0-Nusantara Studio 5 : 50%BP IMB Drawing Canopy House</t>
  </si>
  <si>
    <t>OUT-0035</t>
  </si>
  <si>
    <t>Kalindo 2.0-Nusantara Studio 5 : 50%BP IMB Drawing Villa at Nu</t>
  </si>
  <si>
    <t>OUT-0036</t>
  </si>
  <si>
    <t>OPEX IDR-020123</t>
  </si>
  <si>
    <t>Kalindo 2.0-Nadia : Exp claim - Taxi from Airport to H</t>
  </si>
  <si>
    <t>OUT-0037</t>
  </si>
  <si>
    <t>Kalindo 2.0-Nadia : Exp claim - Taxi from Home to Airp</t>
  </si>
  <si>
    <t>OUT-0038</t>
  </si>
  <si>
    <t>OUT-0039</t>
  </si>
  <si>
    <t>OUT-0040</t>
  </si>
  <si>
    <t>OUT-0041</t>
  </si>
  <si>
    <t>OUT-0042</t>
  </si>
  <si>
    <t>OUT-0043</t>
  </si>
  <si>
    <t>Kalindo 2.0-Notary Wulandari Samapathy: Kalindo 2.0 - Cost Estimation</t>
  </si>
  <si>
    <t>OUT-0044</t>
  </si>
  <si>
    <t>OUT-0045</t>
  </si>
  <si>
    <t>OUT-0046</t>
  </si>
  <si>
    <t>OUT-0047</t>
  </si>
  <si>
    <t>KALINDO 2.0 IDR-270</t>
  </si>
  <si>
    <t>Kalindo 2.0-Nusantara Studio 5 : 50%BP architectural services</t>
  </si>
  <si>
    <t>OUT-0048</t>
  </si>
  <si>
    <t>OUT-0049</t>
  </si>
  <si>
    <t>OUT-0050</t>
  </si>
  <si>
    <t>OUT-0051</t>
  </si>
  <si>
    <t>Feb 2023 A&amp;G Allocation</t>
  </si>
  <si>
    <t>OUT-0052</t>
  </si>
  <si>
    <t>OUT-0053</t>
  </si>
  <si>
    <t>OUT-0054</t>
  </si>
  <si>
    <t>OPEX-IDR 240223</t>
  </si>
  <si>
    <t>Kalindo 2.0-Bumi Cipta Struktur, CV (Wayan Sujana) : Inv II DP Inv 30% DP IMB Drawing for 2.5 BR Meadow Villa</t>
  </si>
  <si>
    <t>OUT-0055</t>
  </si>
  <si>
    <t>Kalindo 2.0-Bumi Cipta Struktur, CV (Wayan Sujana) : Inv II DP Inv 30% DP IMB Drawing for 3 BR Horizon Ridge Villa</t>
  </si>
  <si>
    <t>OUT-0056</t>
  </si>
  <si>
    <t>Kalindo 2.0-Bumi Cipta Struktur, CV (Wayan Sujana) : Inv II DP Inv 30% DP IMB Drawing for 4 BR Horizon Ridge Top Villa</t>
  </si>
  <si>
    <t>OUT-0057</t>
  </si>
  <si>
    <t>Kalindo 2.0-Bumi Cipta Struktur, CV (Wayan Sujana) : Inv II DP Inv 30% DP IMB Drawing for 4 BR Canopy House</t>
  </si>
  <si>
    <t>OUT-0058</t>
  </si>
  <si>
    <t>AR Adj-280223</t>
  </si>
  <si>
    <t>Kalindo 2.0-Folio 35433 - IDR-Resort Credit-Andrew Fenwick</t>
  </si>
  <si>
    <t>OUT-0059</t>
  </si>
  <si>
    <t>OPEX-IDR 280223</t>
  </si>
  <si>
    <t>Kalindo 2.0-Notary Wulandari Samapathy : Extra Expense for 8 HGB Split of PT KAS</t>
  </si>
  <si>
    <t>OUT-0060</t>
  </si>
  <si>
    <t>Kalindo 2.0-CV Tirta Rekayasa : Inv 40% DP of Soil Test - Geotechnic Area</t>
  </si>
  <si>
    <t>OUT-0061</t>
  </si>
  <si>
    <t>OUT-0062</t>
  </si>
  <si>
    <t>Mar 2023 A&amp;G Allocation</t>
  </si>
  <si>
    <t>OUT-0063</t>
  </si>
  <si>
    <t>OPEX-921638303694503234</t>
  </si>
  <si>
    <t>Re Return transfer invoice (IMB Kirana Hai at Kalindo 2.0 for Villa B(E2) &amp; C(E3)) Received at 21/02/23</t>
  </si>
  <si>
    <t>OUT-0064</t>
  </si>
  <si>
    <t>Re PPN Oct Nov 22 (IMB Kirana Hai at Kalindo 2.0 for Villa B(E2) &amp; C(E3)) Received at 21/02/23</t>
  </si>
  <si>
    <t>OUT-0065</t>
  </si>
  <si>
    <t>Kalindo 2.0- Exp Claim - Taxi from home to airport (Fam trip)</t>
  </si>
  <si>
    <t>OUT-0066</t>
  </si>
  <si>
    <t>Kalindo 2.0- Exp Claim - Taxi from airport  to home (Fam trip)</t>
  </si>
  <si>
    <t>OUT-0067</t>
  </si>
  <si>
    <t>Kalindo 2.0- Exp Claim - Lunch w/ Andrew Fenwick The Official</t>
  </si>
  <si>
    <t>OUT-0068</t>
  </si>
  <si>
    <t>OPEX-076507490701652901</t>
  </si>
  <si>
    <t>Kalindo 2.0- BP architectural services IMB Stable for Villa B (E2) + VAT (USD 6,877 x 15,300)</t>
  </si>
  <si>
    <t>OUT-0069</t>
  </si>
  <si>
    <t>Kalindo 2.0- PPh 4(2) - BP architectural services of IMB Stable for Villa B (E2) (6% x 94,791,150)</t>
  </si>
  <si>
    <t>OUT-0070</t>
  </si>
  <si>
    <t>Kalindo 2.0- 50% BP architectural services IMB Stable for Villa B (E3) + VAT (USD 6,593.95 x 15,300)</t>
  </si>
  <si>
    <t>OUT-0071</t>
  </si>
  <si>
    <t>Kalindo 2.0- PPh 4(2) - BP architectural services of IMB Stable for Villa B (E2) (6% x 90,889,650)</t>
  </si>
  <si>
    <t>OUT-0072</t>
  </si>
  <si>
    <t>Over payment (IMB Kirana Hai at Kalindo 2.0 for Villa (E2) &amp; (E3))</t>
  </si>
  <si>
    <t>OUT-0073</t>
  </si>
  <si>
    <t>OPEX-032727252305296387</t>
  </si>
  <si>
    <t>Kalindo 2.0-  50% DP of Architectural service for Design Development Horizon Ridge project (from total USD 17,866) + VAT (USD 9,915.63 x 15,350)</t>
  </si>
  <si>
    <t>OUT-0074</t>
  </si>
  <si>
    <t>Kalindo 2.0- PPh 4(2) -  50% DP of Architectural service for Design Development Horizon Ridge project (6% x 137,121,550)</t>
  </si>
  <si>
    <t>OUT-0075</t>
  </si>
  <si>
    <t>OUT-0076</t>
  </si>
  <si>
    <t>OUT-0077</t>
  </si>
  <si>
    <t>OUT-0078</t>
  </si>
  <si>
    <t>OUT-0079</t>
  </si>
  <si>
    <t>OPEX-manual transfer</t>
  </si>
  <si>
    <t>Kalindo 2.0- 50%DP Inv 1138 The Phase I mobilitasation fee FF&amp;E schedules for 5 villas (E2,E3,2BR Horizon Ridge Estate, Horizon Ridge Top, Meadow 2.5 BR Villa)</t>
  </si>
  <si>
    <t>OUT-0080</t>
  </si>
  <si>
    <t>Kalindo 2.0- 50%DP Inv 1139 The Phase II for CGI Render 12 pcs &amp; Vignette 6 pcs</t>
  </si>
  <si>
    <t>OUT-0081</t>
  </si>
  <si>
    <t>OPEX-303874327898543638</t>
  </si>
  <si>
    <t>Kalindo 2.0- PPN of advance payment for the sale of land located at a beachfront land plot on a remote eastern Indonesian island</t>
  </si>
  <si>
    <t>OUT-0082</t>
  </si>
  <si>
    <t>Apr 2023 A&amp;G Allocation</t>
  </si>
  <si>
    <t>OUT-0083</t>
  </si>
  <si>
    <t>OUT-0084</t>
  </si>
  <si>
    <t>OUT-0085</t>
  </si>
  <si>
    <t>OPEX-969470969070169498</t>
  </si>
  <si>
    <t>Kalindo 2.0- Inv II 30% DP IMB Document for Villa E2 Kirana Hai</t>
  </si>
  <si>
    <t>OUT-0086</t>
  </si>
  <si>
    <t>Kalindo 2.0- Inv II 30% DP IMB Document for Villa E3 Kirana Hai</t>
  </si>
  <si>
    <t>OUT-0087</t>
  </si>
  <si>
    <t>OUT-0088</t>
  </si>
  <si>
    <t>OUT-0089</t>
  </si>
  <si>
    <t>OUT-0090</t>
  </si>
  <si>
    <t>May 2023 A&amp;G Allocation</t>
  </si>
  <si>
    <t>OUT-0091</t>
  </si>
  <si>
    <t>Sari &amp; Yudi</t>
  </si>
  <si>
    <t>OPEX IDR-030523</t>
  </si>
  <si>
    <t>OUT-0092</t>
  </si>
  <si>
    <t>Kalindo 2.0- Inv 1155 - 50%BP Phase 1 Mobilisation fee FF&amp;E schedules for 5 villas (E2,E3,2BR Horizon Ridge Estate, Horizon Ridge Top, Meadow 2.5 BR Villa)</t>
  </si>
  <si>
    <t>OUT-0093</t>
  </si>
  <si>
    <t>Kalindo 2.0- Inv 1155 - Additional FF&amp;E schedules for 1 villa</t>
  </si>
  <si>
    <t>OUT-0094</t>
  </si>
  <si>
    <t>OUT-0095</t>
  </si>
  <si>
    <t>OUT-0096</t>
  </si>
  <si>
    <t>OUT-0097</t>
  </si>
  <si>
    <t>Jun 2023 A&amp;G Allocation</t>
  </si>
  <si>
    <t>OUT-0098</t>
  </si>
  <si>
    <t>OPEX- 921438761454929636</t>
  </si>
  <si>
    <t>Kalindo 2.0- Additional setting out for Subdivision palm E2, E3, Horizon Ridge Top &amp; Canopy House Surveyor Topography</t>
  </si>
  <si>
    <t>OUT-0099</t>
  </si>
  <si>
    <t>Pph 23 Kalindo 2.0- Additional setting out for Subdivision palm E2, E3, Horizon Ridge Top &amp; Canopy House Surveyor Topography (2.5% x IDR 4.000.000)</t>
  </si>
  <si>
    <t>OUT-0100</t>
  </si>
  <si>
    <t>OUT-0101</t>
  </si>
  <si>
    <t>OUT-0102</t>
  </si>
  <si>
    <t>OUT-0103</t>
  </si>
  <si>
    <t>OUT-0104</t>
  </si>
  <si>
    <t>OUT-0105</t>
  </si>
  <si>
    <t>OUT-0106</t>
  </si>
  <si>
    <t>OUT-0107</t>
  </si>
  <si>
    <t>OUT-0108</t>
  </si>
  <si>
    <t>OUT-0109</t>
  </si>
  <si>
    <t>Jul 2023 A&amp;G Allocation</t>
  </si>
  <si>
    <t>OUT-0110</t>
  </si>
  <si>
    <t>OPEX IDR-060723</t>
  </si>
  <si>
    <t>Sari's recon</t>
  </si>
  <si>
    <t>Kalindo 2.0-Meridian:Inv 015/06/2023 - 40% Balance drafting reserva</t>
  </si>
  <si>
    <t>OUT-0111</t>
  </si>
  <si>
    <t>Kalindo 2.0-Meridian:Inv 015/06/2023 - Assistance with the developm</t>
  </si>
  <si>
    <t>OUT-0112</t>
  </si>
  <si>
    <t>OUT-0113</t>
  </si>
  <si>
    <t>OUT-0114</t>
  </si>
  <si>
    <t>OUT-0115</t>
  </si>
  <si>
    <t>OUT-0116</t>
  </si>
  <si>
    <t>OUT-0117</t>
  </si>
  <si>
    <t>OUT-0118</t>
  </si>
  <si>
    <t>Internal Recon</t>
  </si>
  <si>
    <t>OFFICIAL Partners New Development fees</t>
  </si>
  <si>
    <t>OUT-0119</t>
  </si>
  <si>
    <t>OUT-0120</t>
  </si>
  <si>
    <t>OUT-0121</t>
  </si>
  <si>
    <t>OUT-0122</t>
  </si>
  <si>
    <t>OUT-0123</t>
  </si>
  <si>
    <t>Aug 2023 A&amp;G Allocation</t>
  </si>
  <si>
    <t>OUT-0124</t>
  </si>
  <si>
    <t>OUT-0125</t>
  </si>
  <si>
    <t>OUT-0126</t>
  </si>
  <si>
    <t>OUT-0127</t>
  </si>
  <si>
    <t>OUT-0128</t>
  </si>
  <si>
    <t>OUT-0129</t>
  </si>
  <si>
    <t>OUT-0130</t>
  </si>
  <si>
    <t>OUT-0131</t>
  </si>
  <si>
    <t>OUT-0132</t>
  </si>
  <si>
    <t>Sep 2023 A&amp;G Allocation</t>
  </si>
  <si>
    <t>OUT-0133</t>
  </si>
  <si>
    <t>OUT-0134</t>
  </si>
  <si>
    <t>OUT-0135</t>
  </si>
  <si>
    <t>OUT-0136</t>
  </si>
  <si>
    <t>OUT-0137</t>
  </si>
  <si>
    <t>OUT-0138</t>
  </si>
  <si>
    <t>Oct 2023 A&amp;G Allocation</t>
  </si>
  <si>
    <t>OUT-0139</t>
  </si>
  <si>
    <t>OUT-0140</t>
  </si>
  <si>
    <t>OUT-0141</t>
  </si>
  <si>
    <t>OUT-0142</t>
  </si>
  <si>
    <t>OUT-0143</t>
  </si>
  <si>
    <t>OUT-0144</t>
  </si>
  <si>
    <t>OUT-0145</t>
  </si>
  <si>
    <t>OUT-0146</t>
  </si>
  <si>
    <t>OUT-0147</t>
  </si>
  <si>
    <t>OUT-0148</t>
  </si>
  <si>
    <t>OUT-0149</t>
  </si>
  <si>
    <t>OUT-0150</t>
  </si>
  <si>
    <t>Nov 2023 A&amp;G Allocation</t>
  </si>
  <si>
    <t>OUT-0151</t>
  </si>
  <si>
    <t>OUT-0152</t>
  </si>
  <si>
    <t>OUT-0153</t>
  </si>
  <si>
    <t>OUT-0154</t>
  </si>
  <si>
    <t>OUT-0155</t>
  </si>
  <si>
    <t>OUT-0156</t>
  </si>
  <si>
    <t>OUT-0157</t>
  </si>
  <si>
    <t>Dec 2023 A&amp;G Allocation</t>
  </si>
  <si>
    <t>Kalindo Cove - Inflow Ledger</t>
  </si>
  <si>
    <t>Transaction-level sales receipts and account income translated at monthly average FX and reconciled to bank references.</t>
  </si>
  <si>
    <t>Actual receipts through cut-off</t>
  </si>
  <si>
    <t>Sales receipts</t>
  </si>
  <si>
    <t>Income Source</t>
  </si>
  <si>
    <t>Standard Unit / Type</t>
  </si>
  <si>
    <t>Budgeted Income USD</t>
  </si>
  <si>
    <t>Variance USD</t>
  </si>
  <si>
    <t>INF-0001</t>
  </si>
  <si>
    <t>IDR Account</t>
  </si>
  <si>
    <t>Credit Interest</t>
  </si>
  <si>
    <t>INF-0002</t>
  </si>
  <si>
    <t>INF-0003</t>
  </si>
  <si>
    <t>INF-0004</t>
  </si>
  <si>
    <t>INF-0005</t>
  </si>
  <si>
    <t>INF-0006</t>
  </si>
  <si>
    <t>Payment Thomas Whitfield</t>
  </si>
  <si>
    <t>INF-0007</t>
  </si>
  <si>
    <t>USD Account</t>
  </si>
  <si>
    <t>INF-0008</t>
  </si>
  <si>
    <t>INF-0009</t>
  </si>
  <si>
    <t>INF-0010</t>
  </si>
  <si>
    <t>INF-0011</t>
  </si>
  <si>
    <t>INF-0012</t>
  </si>
  <si>
    <t>INF-0013</t>
  </si>
  <si>
    <t>INF-0014</t>
  </si>
  <si>
    <t>INF-0015</t>
  </si>
  <si>
    <t>INF-0016</t>
  </si>
  <si>
    <t>INF-0017</t>
  </si>
  <si>
    <t>INF-0018</t>
  </si>
  <si>
    <t>INF-0019</t>
  </si>
  <si>
    <t>Payment Julien</t>
  </si>
  <si>
    <t>INF-0020</t>
  </si>
  <si>
    <t>INF-0021</t>
  </si>
  <si>
    <t>IJ2785694163896</t>
  </si>
  <si>
    <t>INF-0022</t>
  </si>
  <si>
    <t>476909YBUZ494581</t>
  </si>
  <si>
    <t>INCOMING SWIFT 9678769892TW ISABELLA MARIE CONTI 52 GLENTWOR /ROC/9678769892TW///URI/PAID AS SHA</t>
  </si>
  <si>
    <t>INF-0023</t>
  </si>
  <si>
    <t>YP0149430923010</t>
  </si>
  <si>
    <t>Kalindo Cove - Model Checks</t>
  </si>
  <si>
    <t>One assertion per row. PASS means the workbook reconciles within the stated tolerance.</t>
  </si>
  <si>
    <t>MODEL STATUS</t>
  </si>
  <si>
    <t>Check Summary</t>
  </si>
  <si>
    <t>ID</t>
  </si>
  <si>
    <t>Tolerance</t>
  </si>
  <si>
    <t>Where to fix / Notes</t>
  </si>
  <si>
    <t>CHK01</t>
  </si>
  <si>
    <t>Villa buildup factors sum to 100%</t>
  </si>
  <si>
    <t>Villas P6:P14</t>
  </si>
  <si>
    <t>CHK02</t>
  </si>
  <si>
    <t>Villa land factors sum to 100%</t>
  </si>
  <si>
    <t>Villas Q6:Q14</t>
  </si>
  <si>
    <t>CHK03</t>
  </si>
  <si>
    <t>Budget allocation ties</t>
  </si>
  <si>
    <t>Allocation budget block</t>
  </si>
  <si>
    <t>CHK04</t>
  </si>
  <si>
    <t>Actual allocation ties</t>
  </si>
  <si>
    <t>Allocation actual block</t>
  </si>
  <si>
    <t>CHK05</t>
  </si>
  <si>
    <t>EAC allocation ties</t>
  </si>
  <si>
    <t>Allocation EAC block</t>
  </si>
  <si>
    <t>CHK06</t>
  </si>
  <si>
    <t>Unit P&amp;L EAC equals allocated P&amp;L costs</t>
  </si>
  <si>
    <t>Unit P&amp;L / Budget</t>
  </si>
  <si>
    <t>CHK07</t>
  </si>
  <si>
    <t>Sales receipt plans reconcile</t>
  </si>
  <si>
    <t>Sales Plan receipt control</t>
  </si>
  <si>
    <t>CHK08</t>
  </si>
  <si>
    <t>Cash Flow actual inflows tie to ledger</t>
  </si>
  <si>
    <t>Cash Flow actual inflows</t>
  </si>
  <si>
    <t>CHK09</t>
  </si>
  <si>
    <t>Cash Flow actual outflows tie to ledger</t>
  </si>
  <si>
    <t>Cash Flow actual outflows</t>
  </si>
  <si>
    <t>CHK10</t>
  </si>
  <si>
    <t>Outflows mapped to standard categories</t>
  </si>
  <si>
    <t>Inputs category mapping</t>
  </si>
  <si>
    <t>CHK11</t>
  </si>
  <si>
    <t>Bank-sourced outflows matched</t>
  </si>
  <si>
    <t>Outflows bank status</t>
  </si>
  <si>
    <t>CHK12</t>
  </si>
  <si>
    <t>Inflows matched to bank feeds</t>
  </si>
  <si>
    <t>Inflows bank status</t>
  </si>
  <si>
    <t>CHK13</t>
  </si>
  <si>
    <t>IDR bank feed movement ties</t>
  </si>
  <si>
    <t>Bank_IDR summary; source may be unsorted within a day</t>
  </si>
  <si>
    <t>CHK14</t>
  </si>
  <si>
    <t>USD bank feed movement ties</t>
  </si>
  <si>
    <t>Bank_USD summary; source may be unsorted within a day</t>
  </si>
  <si>
    <t>CHK15</t>
  </si>
  <si>
    <t>Cash roll-forward identity</t>
  </si>
  <si>
    <t>Cash Flow final month</t>
  </si>
  <si>
    <t>CHK16</t>
  </si>
  <si>
    <t>No negative forecast months</t>
  </si>
  <si>
    <t>Budget schedule</t>
  </si>
  <si>
    <t>CHK17</t>
  </si>
  <si>
    <t>P&amp;L revenue ties to Villas</t>
  </si>
  <si>
    <t>Unit P&amp;L / Villas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</si>
</sst>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[Red]\(#,##0\);\-"/>
    <numFmt numFmtId="165" formatCode="0.0%;[Red]\(0.0%\);\-"/>
    <numFmt numFmtId="166" formatCode="yyyy\-mm\-dd"/>
    <numFmt numFmtId="167" formatCode="\$#,##0;[Red]\(\$#,##0\);\-"/>
    <numFmt numFmtId="168" formatCode="mmm\ yyyy"/>
    <numFmt numFmtId="169" formatCode="#,##0.0;[Red]\(#,##0.0\);\-"/>
    <numFmt numFmtId="170" formatCode="0.0000"/>
    <numFmt numFmtId="171" formatCode="yyyy\-mm\-dd\ hh:mm"/>
    <numFmt numFmtId="172" formatCode="&quot;IDR&quot;\ #,##0;[Red]\(&quot;IDR&quot;\ #,##0\);\-"/>
  </numFmts>
  <fonts count="26">
    <font>
      <sz val="11"/>
      <name val="Carlito"/>
    </font>
    <font>
      <b/>
      <sz val="18"/>
      <color rgb="FFFFFFFF"/>
      <name val="Aptos Display"/>
    </font>
    <font>
      <i/>
      <sz val="10"/>
      <color rgb="FF666666"/>
      <name val="Aptos"/>
    </font>
    <font>
      <b/>
      <sz val="10"/>
      <color rgb="FFFFFFFF"/>
      <name val="Aptos"/>
    </font>
    <font>
      <b/>
      <sz val="9"/>
      <color rgb="FFFFFFFF"/>
      <name val="Aptos"/>
    </font>
    <font>
      <sz val="9"/>
      <color rgb="FF000000"/>
      <name val="Aptos"/>
    </font>
    <font>
      <sz val="9"/>
      <color rgb="FF0000FF"/>
      <name val="Aptos"/>
    </font>
    <font>
      <sz val="9"/>
      <name val="Aptos"/>
    </font>
    <font>
      <sz val="9"/>
      <color rgb="FF008000"/>
      <name val="Aptos"/>
    </font>
    <font>
      <b/>
      <sz val="9"/>
      <name val="Aptos"/>
    </font>
    <font>
      <b/>
      <sz val="9"/>
      <color rgb="FF000000"/>
      <name val="Aptos"/>
    </font>
    <font>
      <b/>
      <sz val="9"/>
      <color rgb="FF008000"/>
      <name val="Aptos"/>
    </font>
    <font>
      <b/>
      <sz val="16"/>
      <color rgb="FF16324F"/>
      <name val="Aptos Display"/>
    </font>
    <font>
      <b/>
      <sz val="14"/>
      <color rgb="FFFFFFFF"/>
      <name val="Aptos Display"/>
    </font>
    <font>
      <b/>
      <sz val="12"/>
      <name val="Aptos"/>
    </font>
    <font>
      <b/>
      <sz val="9"/>
      <color rgb="FF0000FF"/>
      <name val="Aptos"/>
    </font>
    <font>
      <b/>
      <sz val="9"/>
      <color rgb="FFC62828"/>
      <name val="Aptos"/>
    </font>
    <font>
      <sz val="10"/>
      <color rgb="FF000000"/>
      <name val="Aptos"/>
    </font>
    <font>
      <u/>
      <sz val="11"/>
      <color theme="10"/>
      <name val="Carlito"/>
    </font>
    <font>
      <b/>
      <sz val="9"/>
      <color rgb="FFFFFFFF"/>
      <name val="Aptos"/>
      <family val="2"/>
    </font>
    <font>
      <sz val="9"/>
      <color rgb="FF000000"/>
      <name val="Aptos"/>
      <family val="2"/>
    </font>
    <font>
      <b/>
      <sz val="18"/>
      <color rgb="FFFFFFFF"/>
      <name val="Aptos Display"/>
      <family val="2"/>
    </font>
    <font>
      <u/>
      <sz val="9"/>
      <color rgb="FF0000FF"/>
      <name val="Aptos"/>
      <family val="2"/>
    </font>
    <font>
      <sz val="11"/>
      <color rgb="FF000000"/>
      <name val="Carlito"/>
    </font>
    <font>
      <b/>
      <sz val="9"/>
      <color rgb="FF000000"/>
      <name val="Aptos"/>
      <family val="2"/>
    </font>
    <font>
      <b/>
      <sz val="9"/>
      <color rgb="FF00800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rgb="FFEAF2F8"/>
      </patternFill>
    </fill>
    <fill>
      <patternFill patternType="solid">
        <fgColor rgb="FF244A6A"/>
      </patternFill>
    </fill>
    <fill>
      <patternFill patternType="solid">
        <fgColor rgb="FF2C7A7B"/>
      </patternFill>
    </fill>
    <fill>
      <patternFill patternType="solid">
        <fgColor rgb="FFDCE6F1"/>
      </patternFill>
    </fill>
    <fill>
      <patternFill patternType="solid">
        <fgColor rgb="FF7F8C8D"/>
      </patternFill>
    </fill>
    <fill>
      <patternFill patternType="solid">
        <fgColor rgb="FFDDEFEF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FCE8E6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2C7A7B"/>
        <bgColor indexed="64"/>
      </patternFill>
    </fill>
    <fill>
      <patternFill patternType="solid">
        <fgColor rgb="FFC0E6F5"/>
        <bgColor indexed="64"/>
      </patternFill>
    </fill>
  </fills>
  <borders count="31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BFBFBF"/>
      </bottom>
      <diagonal/>
    </border>
    <border>
      <left/>
      <right/>
      <top/>
      <bottom style="double">
        <color rgb="FF16324F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/>
      <top/>
      <bottom style="thin">
        <color rgb="FF16324F"/>
      </bottom>
      <diagonal/>
    </border>
    <border>
      <left/>
      <right/>
      <top style="thin">
        <color rgb="FFE7E6E6"/>
      </top>
      <bottom style="double">
        <color rgb="FF16324F"/>
      </bottom>
      <diagonal/>
    </border>
    <border>
      <left style="thin">
        <color rgb="FF16324F"/>
      </left>
      <right/>
      <top style="thin">
        <color rgb="FF16324F"/>
      </top>
      <bottom/>
      <diagonal/>
    </border>
    <border>
      <left/>
      <right/>
      <top style="thin">
        <color rgb="FF16324F"/>
      </top>
      <bottom/>
      <diagonal/>
    </border>
    <border>
      <left/>
      <right style="thin">
        <color rgb="FF16324F"/>
      </right>
      <top style="thin">
        <color rgb="FF16324F"/>
      </top>
      <bottom/>
      <diagonal/>
    </border>
    <border>
      <left style="thin">
        <color rgb="FF16324F"/>
      </left>
      <right/>
      <top/>
      <bottom/>
      <diagonal/>
    </border>
    <border>
      <left/>
      <right style="thin">
        <color rgb="FF16324F"/>
      </right>
      <top/>
      <bottom/>
      <diagonal/>
    </border>
    <border>
      <left style="thin">
        <color rgb="FF16324F"/>
      </left>
      <right/>
      <top/>
      <bottom style="thin">
        <color rgb="FF16324F"/>
      </bottom>
      <diagonal/>
    </border>
    <border>
      <left/>
      <right style="thin">
        <color rgb="FF16324F"/>
      </right>
      <top/>
      <bottom style="thin">
        <color rgb="FF16324F"/>
      </bottom>
      <diagonal/>
    </border>
    <border>
      <left style="thin">
        <color rgb="FFF4B183"/>
      </left>
      <right/>
      <top style="thin">
        <color rgb="FFF4B183"/>
      </top>
      <bottom/>
      <diagonal/>
    </border>
    <border>
      <left/>
      <right/>
      <top style="thin">
        <color rgb="FFF4B183"/>
      </top>
      <bottom/>
      <diagonal/>
    </border>
    <border>
      <left/>
      <right style="thin">
        <color rgb="FFF4B183"/>
      </right>
      <top style="thin">
        <color rgb="FFF4B183"/>
      </top>
      <bottom/>
      <diagonal/>
    </border>
    <border>
      <left style="thin">
        <color rgb="FFF4B183"/>
      </left>
      <right/>
      <top/>
      <bottom/>
      <diagonal/>
    </border>
    <border>
      <left/>
      <right style="thin">
        <color rgb="FFF4B183"/>
      </right>
      <top/>
      <bottom/>
      <diagonal/>
    </border>
    <border>
      <left style="thin">
        <color rgb="FFF4B183"/>
      </left>
      <right/>
      <top/>
      <bottom style="thin">
        <color rgb="FFF4B183"/>
      </bottom>
      <diagonal/>
    </border>
    <border>
      <left/>
      <right/>
      <top/>
      <bottom style="thin">
        <color rgb="FFF4B183"/>
      </bottom>
      <diagonal/>
    </border>
    <border>
      <left/>
      <right style="thin">
        <color rgb="FFF4B183"/>
      </right>
      <top/>
      <bottom style="thin">
        <color rgb="FFF4B183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86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5" fontId="5" fillId="0" borderId="5" xfId="0" applyNumberFormat="1" applyFont="1" applyBorder="1" applyAlignment="1">
      <alignment vertical="center"/>
    </xf>
    <xf numFmtId="166" fontId="5" fillId="0" borderId="5" xfId="0" applyNumberFormat="1" applyFont="1" applyBorder="1" applyAlignment="1">
      <alignment vertical="center"/>
    </xf>
    <xf numFmtId="167" fontId="5" fillId="0" borderId="6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6" fontId="6" fillId="0" borderId="5" xfId="0" applyNumberFormat="1" applyFont="1" applyBorder="1" applyAlignment="1">
      <alignment vertical="center"/>
    </xf>
    <xf numFmtId="167" fontId="6" fillId="0" borderId="6" xfId="0" applyNumberFormat="1" applyFont="1" applyBorder="1" applyAlignment="1">
      <alignment vertical="center"/>
    </xf>
    <xf numFmtId="168" fontId="5" fillId="0" borderId="4" xfId="0" applyNumberFormat="1" applyFont="1" applyBorder="1" applyAlignment="1">
      <alignment vertical="center"/>
    </xf>
    <xf numFmtId="168" fontId="5" fillId="0" borderId="5" xfId="0" applyNumberFormat="1" applyFont="1" applyBorder="1" applyAlignment="1">
      <alignment vertical="center"/>
    </xf>
    <xf numFmtId="168" fontId="5" fillId="0" borderId="6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69" fontId="6" fillId="0" borderId="4" xfId="0" applyNumberFormat="1" applyFont="1" applyBorder="1" applyAlignment="1">
      <alignment vertical="center"/>
    </xf>
    <xf numFmtId="169" fontId="5" fillId="0" borderId="4" xfId="0" applyNumberFormat="1" applyFont="1" applyBorder="1" applyAlignment="1">
      <alignment vertical="center"/>
    </xf>
    <xf numFmtId="169" fontId="6" fillId="0" borderId="5" xfId="0" applyNumberFormat="1" applyFont="1" applyBorder="1" applyAlignment="1">
      <alignment vertical="center"/>
    </xf>
    <xf numFmtId="169" fontId="5" fillId="0" borderId="5" xfId="0" applyNumberFormat="1" applyFont="1" applyBorder="1" applyAlignment="1">
      <alignment vertical="center"/>
    </xf>
    <xf numFmtId="169" fontId="6" fillId="0" borderId="6" xfId="0" applyNumberFormat="1" applyFont="1" applyBorder="1" applyAlignment="1">
      <alignment vertical="center"/>
    </xf>
    <xf numFmtId="169" fontId="5" fillId="0" borderId="6" xfId="0" applyNumberFormat="1" applyFont="1" applyBorder="1" applyAlignment="1">
      <alignment vertical="center"/>
    </xf>
    <xf numFmtId="167" fontId="6" fillId="0" borderId="4" xfId="0" applyNumberFormat="1" applyFont="1" applyBorder="1" applyAlignment="1">
      <alignment vertical="center"/>
    </xf>
    <xf numFmtId="167" fontId="8" fillId="0" borderId="4" xfId="0" applyNumberFormat="1" applyFont="1" applyBorder="1" applyAlignment="1">
      <alignment vertical="center"/>
    </xf>
    <xf numFmtId="167" fontId="6" fillId="0" borderId="5" xfId="0" applyNumberFormat="1" applyFont="1" applyBorder="1" applyAlignment="1">
      <alignment vertical="center"/>
    </xf>
    <xf numFmtId="167" fontId="8" fillId="0" borderId="5" xfId="0" applyNumberFormat="1" applyFont="1" applyBorder="1" applyAlignment="1">
      <alignment vertical="center"/>
    </xf>
    <xf numFmtId="167" fontId="8" fillId="0" borderId="6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70" fontId="5" fillId="0" borderId="4" xfId="0" applyNumberFormat="1" applyFont="1" applyBorder="1" applyAlignment="1">
      <alignment vertical="center"/>
    </xf>
    <xf numFmtId="170" fontId="5" fillId="0" borderId="5" xfId="0" applyNumberFormat="1" applyFont="1" applyBorder="1" applyAlignment="1">
      <alignment vertical="center"/>
    </xf>
    <xf numFmtId="171" fontId="5" fillId="0" borderId="4" xfId="0" applyNumberFormat="1" applyFont="1" applyBorder="1" applyAlignment="1">
      <alignment vertical="center"/>
    </xf>
    <xf numFmtId="171" fontId="5" fillId="0" borderId="5" xfId="0" applyNumberFormat="1" applyFont="1" applyBorder="1" applyAlignment="1">
      <alignment vertical="center"/>
    </xf>
    <xf numFmtId="171" fontId="5" fillId="0" borderId="6" xfId="0" applyNumberFormat="1" applyFont="1" applyBorder="1" applyAlignment="1">
      <alignment vertical="center"/>
    </xf>
    <xf numFmtId="172" fontId="5" fillId="0" borderId="4" xfId="0" applyNumberFormat="1" applyFont="1" applyBorder="1" applyAlignment="1">
      <alignment vertical="center"/>
    </xf>
    <xf numFmtId="172" fontId="5" fillId="0" borderId="5" xfId="0" applyNumberFormat="1" applyFont="1" applyBorder="1" applyAlignment="1">
      <alignment vertical="center"/>
    </xf>
    <xf numFmtId="172" fontId="5" fillId="0" borderId="6" xfId="0" applyNumberFormat="1" applyFont="1" applyBorder="1" applyAlignment="1">
      <alignment vertical="center"/>
    </xf>
    <xf numFmtId="0" fontId="9" fillId="3" borderId="0" xfId="0" applyFont="1" applyFill="1"/>
    <xf numFmtId="172" fontId="10" fillId="3" borderId="0" xfId="0" applyNumberFormat="1" applyFont="1" applyFill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67" fontId="5" fillId="0" borderId="4" xfId="0" applyNumberFormat="1" applyFont="1" applyBorder="1" applyAlignment="1">
      <alignment vertical="center"/>
    </xf>
    <xf numFmtId="167" fontId="5" fillId="0" borderId="5" xfId="0" applyNumberFormat="1" applyFont="1" applyBorder="1" applyAlignment="1">
      <alignment vertical="center"/>
    </xf>
    <xf numFmtId="167" fontId="10" fillId="3" borderId="0" xfId="0" applyNumberFormat="1" applyFont="1" applyFill="1"/>
    <xf numFmtId="166" fontId="5" fillId="0" borderId="4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8" fontId="8" fillId="0" borderId="4" xfId="0" applyNumberFormat="1" applyFont="1" applyBorder="1" applyAlignment="1">
      <alignment vertical="center"/>
    </xf>
    <xf numFmtId="168" fontId="8" fillId="0" borderId="5" xfId="0" applyNumberFormat="1" applyFont="1" applyBorder="1" applyAlignment="1">
      <alignment vertical="center"/>
    </xf>
    <xf numFmtId="168" fontId="8" fillId="0" borderId="6" xfId="0" applyNumberFormat="1" applyFont="1" applyBorder="1" applyAlignment="1">
      <alignment vertical="center"/>
    </xf>
    <xf numFmtId="168" fontId="6" fillId="0" borderId="4" xfId="0" applyNumberFormat="1" applyFont="1" applyBorder="1" applyAlignment="1">
      <alignment vertical="center"/>
    </xf>
    <xf numFmtId="168" fontId="6" fillId="0" borderId="5" xfId="0" applyNumberFormat="1" applyFont="1" applyBorder="1" applyAlignment="1">
      <alignment vertical="center"/>
    </xf>
    <xf numFmtId="168" fontId="6" fillId="0" borderId="6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1" fontId="6" fillId="0" borderId="6" xfId="0" applyNumberFormat="1" applyFont="1" applyBorder="1" applyAlignment="1">
      <alignment vertical="center"/>
    </xf>
    <xf numFmtId="169" fontId="8" fillId="0" borderId="4" xfId="0" applyNumberFormat="1" applyFont="1" applyBorder="1" applyAlignment="1">
      <alignment vertical="center"/>
    </xf>
    <xf numFmtId="169" fontId="8" fillId="0" borderId="5" xfId="0" applyNumberFormat="1" applyFont="1" applyBorder="1" applyAlignment="1">
      <alignment vertical="center"/>
    </xf>
    <xf numFmtId="169" fontId="8" fillId="0" borderId="6" xfId="0" applyNumberFormat="1" applyFont="1" applyBorder="1" applyAlignment="1">
      <alignment vertical="center"/>
    </xf>
    <xf numFmtId="165" fontId="8" fillId="0" borderId="4" xfId="0" applyNumberFormat="1" applyFont="1" applyBorder="1" applyAlignment="1">
      <alignment vertical="center"/>
    </xf>
    <xf numFmtId="165" fontId="8" fillId="0" borderId="5" xfId="0" applyNumberFormat="1" applyFont="1" applyBorder="1" applyAlignment="1">
      <alignment vertical="center"/>
    </xf>
    <xf numFmtId="165" fontId="8" fillId="0" borderId="6" xfId="0" applyNumberFormat="1" applyFont="1" applyBorder="1" applyAlignment="1">
      <alignment vertical="center"/>
    </xf>
    <xf numFmtId="167" fontId="3" fillId="2" borderId="7" xfId="0" applyNumberFormat="1" applyFont="1" applyFill="1" applyBorder="1"/>
    <xf numFmtId="167" fontId="9" fillId="6" borderId="7" xfId="0" applyNumberFormat="1" applyFont="1" applyFill="1" applyBorder="1"/>
    <xf numFmtId="165" fontId="6" fillId="0" borderId="4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7" fontId="4" fillId="4" borderId="12" xfId="0" applyNumberFormat="1" applyFont="1" applyFill="1" applyBorder="1" applyAlignment="1">
      <alignment horizontal="center" vertical="center" wrapText="1"/>
    </xf>
    <xf numFmtId="17" fontId="4" fillId="4" borderId="13" xfId="0" applyNumberFormat="1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vertical="center"/>
    </xf>
    <xf numFmtId="0" fontId="10" fillId="6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9" borderId="5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167" fontId="11" fillId="8" borderId="5" xfId="0" applyNumberFormat="1" applyFont="1" applyFill="1" applyBorder="1" applyAlignment="1">
      <alignment vertical="center"/>
    </xf>
    <xf numFmtId="167" fontId="11" fillId="6" borderId="5" xfId="0" applyNumberFormat="1" applyFont="1" applyFill="1" applyBorder="1" applyAlignment="1">
      <alignment vertical="center"/>
    </xf>
    <xf numFmtId="167" fontId="11" fillId="3" borderId="5" xfId="0" applyNumberFormat="1" applyFont="1" applyFill="1" applyBorder="1" applyAlignment="1">
      <alignment vertical="center"/>
    </xf>
    <xf numFmtId="167" fontId="11" fillId="9" borderId="5" xfId="0" applyNumberFormat="1" applyFont="1" applyFill="1" applyBorder="1" applyAlignment="1">
      <alignment vertical="center"/>
    </xf>
    <xf numFmtId="167" fontId="11" fillId="3" borderId="6" xfId="0" applyNumberFormat="1" applyFont="1" applyFill="1" applyBorder="1" applyAlignment="1">
      <alignment vertical="center"/>
    </xf>
    <xf numFmtId="168" fontId="11" fillId="8" borderId="5" xfId="0" applyNumberFormat="1" applyFont="1" applyFill="1" applyBorder="1" applyAlignment="1">
      <alignment vertical="center"/>
    </xf>
    <xf numFmtId="168" fontId="11" fillId="6" borderId="5" xfId="0" applyNumberFormat="1" applyFont="1" applyFill="1" applyBorder="1" applyAlignment="1">
      <alignment vertical="center"/>
    </xf>
    <xf numFmtId="168" fontId="11" fillId="3" borderId="5" xfId="0" applyNumberFormat="1" applyFont="1" applyFill="1" applyBorder="1" applyAlignment="1">
      <alignment vertical="center"/>
    </xf>
    <xf numFmtId="168" fontId="11" fillId="9" borderId="5" xfId="0" applyNumberFormat="1" applyFont="1" applyFill="1" applyBorder="1" applyAlignment="1">
      <alignment vertical="center"/>
    </xf>
    <xf numFmtId="168" fontId="11" fillId="3" borderId="6" xfId="0" applyNumberFormat="1" applyFont="1" applyFill="1" applyBorder="1" applyAlignment="1">
      <alignment vertical="center"/>
    </xf>
    <xf numFmtId="0" fontId="10" fillId="6" borderId="15" xfId="0" applyFont="1" applyFill="1" applyBorder="1" applyAlignment="1">
      <alignment vertical="center"/>
    </xf>
    <xf numFmtId="167" fontId="11" fillId="6" borderId="15" xfId="0" applyNumberFormat="1" applyFont="1" applyFill="1" applyBorder="1" applyAlignment="1">
      <alignment vertical="center"/>
    </xf>
    <xf numFmtId="0" fontId="10" fillId="9" borderId="15" xfId="0" applyFont="1" applyFill="1" applyBorder="1" applyAlignment="1">
      <alignment vertical="center"/>
    </xf>
    <xf numFmtId="167" fontId="11" fillId="9" borderId="15" xfId="0" applyNumberFormat="1" applyFont="1" applyFill="1" applyBorder="1" applyAlignment="1">
      <alignment vertical="center"/>
    </xf>
    <xf numFmtId="0" fontId="0" fillId="10" borderId="0" xfId="0" applyFill="1"/>
    <xf numFmtId="0" fontId="15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14" fillId="3" borderId="0" xfId="0" applyFont="1" applyFill="1"/>
    <xf numFmtId="0" fontId="9" fillId="13" borderId="0" xfId="0" applyFont="1" applyFill="1"/>
    <xf numFmtId="0" fontId="0" fillId="13" borderId="0" xfId="0" applyFill="1"/>
    <xf numFmtId="167" fontId="11" fillId="13" borderId="0" xfId="0" applyNumberFormat="1" applyFont="1" applyFill="1"/>
    <xf numFmtId="0" fontId="11" fillId="13" borderId="0" xfId="0" applyFont="1" applyFill="1"/>
    <xf numFmtId="0" fontId="19" fillId="5" borderId="2" xfId="0" applyFont="1" applyFill="1" applyBorder="1" applyAlignment="1">
      <alignment horizontal="center" vertical="center" wrapText="1"/>
    </xf>
    <xf numFmtId="0" fontId="19" fillId="14" borderId="0" xfId="0" applyFont="1" applyFill="1" applyAlignment="1">
      <alignment horizontal="center" vertical="center" wrapText="1"/>
    </xf>
    <xf numFmtId="0" fontId="22" fillId="0" borderId="0" xfId="1" applyFont="1"/>
    <xf numFmtId="0" fontId="22" fillId="0" borderId="0" xfId="1" applyFont="1" applyAlignment="1">
      <alignment vertical="center"/>
    </xf>
    <xf numFmtId="0" fontId="20" fillId="0" borderId="0" xfId="1" applyFont="1"/>
    <xf numFmtId="0" fontId="20" fillId="0" borderId="0" xfId="1" applyFont="1" applyAlignment="1"/>
    <xf numFmtId="0" fontId="22" fillId="13" borderId="0" xfId="1" applyFont="1" applyFill="1"/>
    <xf numFmtId="0" fontId="22" fillId="3" borderId="0" xfId="1" applyFont="1" applyFill="1"/>
    <xf numFmtId="0" fontId="5" fillId="15" borderId="4" xfId="0" applyFont="1" applyFill="1" applyBorder="1" applyAlignment="1">
      <alignment vertical="center"/>
    </xf>
    <xf numFmtId="0" fontId="5" fillId="15" borderId="5" xfId="0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0" fontId="24" fillId="15" borderId="4" xfId="0" applyFont="1" applyFill="1" applyBorder="1" applyAlignment="1">
      <alignment vertical="center"/>
    </xf>
    <xf numFmtId="166" fontId="24" fillId="0" borderId="5" xfId="0" applyNumberFormat="1" applyFont="1" applyBorder="1" applyAlignment="1">
      <alignment vertical="center"/>
    </xf>
    <xf numFmtId="166" fontId="25" fillId="15" borderId="5" xfId="0" applyNumberFormat="1" applyFont="1" applyFill="1" applyBorder="1" applyAlignment="1">
      <alignment vertical="center"/>
    </xf>
    <xf numFmtId="0" fontId="24" fillId="15" borderId="6" xfId="0" applyFont="1" applyFill="1" applyBorder="1" applyAlignment="1">
      <alignment vertical="center"/>
    </xf>
    <xf numFmtId="0" fontId="17" fillId="12" borderId="23" xfId="0" applyFont="1" applyFill="1" applyBorder="1" applyAlignment="1">
      <alignment vertical="center"/>
    </xf>
    <xf numFmtId="0" fontId="17" fillId="12" borderId="24" xfId="0" applyFont="1" applyFill="1" applyBorder="1" applyAlignment="1">
      <alignment vertical="center"/>
    </xf>
    <xf numFmtId="0" fontId="17" fillId="12" borderId="25" xfId="0" applyFont="1" applyFill="1" applyBorder="1" applyAlignment="1">
      <alignment vertical="center"/>
    </xf>
    <xf numFmtId="0" fontId="17" fillId="12" borderId="26" xfId="0" applyFont="1" applyFill="1" applyBorder="1" applyAlignment="1">
      <alignment vertical="center"/>
    </xf>
    <xf numFmtId="0" fontId="17" fillId="12" borderId="0" xfId="0" applyFont="1" applyFill="1" applyAlignment="1">
      <alignment vertical="center"/>
    </xf>
    <xf numFmtId="0" fontId="17" fillId="12" borderId="27" xfId="0" applyFont="1" applyFill="1" applyBorder="1" applyAlignment="1">
      <alignment vertical="center"/>
    </xf>
    <xf numFmtId="0" fontId="17" fillId="12" borderId="28" xfId="0" applyFont="1" applyFill="1" applyBorder="1" applyAlignment="1">
      <alignment vertical="center"/>
    </xf>
    <xf numFmtId="0" fontId="17" fillId="12" borderId="29" xfId="0" applyFont="1" applyFill="1" applyBorder="1" applyAlignment="1">
      <alignment vertical="center"/>
    </xf>
    <xf numFmtId="0" fontId="17" fillId="12" borderId="30" xfId="0" applyFont="1" applyFill="1" applyBorder="1" applyAlignment="1">
      <alignment vertical="center"/>
    </xf>
    <xf numFmtId="0" fontId="3" fillId="1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/>
    <xf numFmtId="0" fontId="20" fillId="0" borderId="0" xfId="1" applyFont="1" applyAlignment="1">
      <alignment vertical="center"/>
    </xf>
    <xf numFmtId="0" fontId="22" fillId="0" borderId="0" xfId="1" applyFont="1" applyAlignment="1"/>
    <xf numFmtId="0" fontId="2" fillId="3" borderId="0" xfId="0" applyFont="1" applyFill="1" applyAlignment="1">
      <alignment vertical="center" wrapText="1"/>
    </xf>
    <xf numFmtId="0" fontId="3" fillId="4" borderId="12" xfId="0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167" fontId="12" fillId="3" borderId="16" xfId="0" applyNumberFormat="1" applyFont="1" applyFill="1" applyBorder="1" applyAlignment="1">
      <alignment horizontal="center" vertical="center"/>
    </xf>
    <xf numFmtId="167" fontId="12" fillId="3" borderId="17" xfId="0" applyNumberFormat="1" applyFont="1" applyFill="1" applyBorder="1" applyAlignment="1">
      <alignment horizontal="center" vertical="center"/>
    </xf>
    <xf numFmtId="167" fontId="12" fillId="3" borderId="18" xfId="0" applyNumberFormat="1" applyFont="1" applyFill="1" applyBorder="1" applyAlignment="1">
      <alignment horizontal="center" vertical="center"/>
    </xf>
    <xf numFmtId="167" fontId="12" fillId="3" borderId="19" xfId="0" applyNumberFormat="1" applyFont="1" applyFill="1" applyBorder="1" applyAlignment="1">
      <alignment horizontal="center" vertical="center"/>
    </xf>
    <xf numFmtId="167" fontId="12" fillId="3" borderId="0" xfId="0" applyNumberFormat="1" applyFont="1" applyFill="1" applyAlignment="1">
      <alignment horizontal="center" vertical="center"/>
    </xf>
    <xf numFmtId="167" fontId="12" fillId="3" borderId="20" xfId="0" applyNumberFormat="1" applyFont="1" applyFill="1" applyBorder="1" applyAlignment="1">
      <alignment horizontal="center" vertical="center"/>
    </xf>
    <xf numFmtId="167" fontId="12" fillId="3" borderId="21" xfId="0" applyNumberFormat="1" applyFont="1" applyFill="1" applyBorder="1" applyAlignment="1">
      <alignment horizontal="center" vertical="center"/>
    </xf>
    <xf numFmtId="167" fontId="12" fillId="3" borderId="14" xfId="0" applyNumberFormat="1" applyFont="1" applyFill="1" applyBorder="1" applyAlignment="1">
      <alignment horizontal="center" vertical="center"/>
    </xf>
    <xf numFmtId="167" fontId="12" fillId="3" borderId="22" xfId="0" applyNumberFormat="1" applyFont="1" applyFill="1" applyBorder="1" applyAlignment="1">
      <alignment horizontal="center" vertical="center"/>
    </xf>
    <xf numFmtId="0" fontId="23" fillId="0" borderId="0" xfId="1" applyFont="1" applyAlignment="1"/>
    <xf numFmtId="0" fontId="3" fillId="4" borderId="0" xfId="0" applyFont="1" applyFill="1" applyAlignment="1">
      <alignment vertical="center"/>
    </xf>
    <xf numFmtId="0" fontId="23" fillId="4" borderId="0" xfId="1" applyFont="1" applyFill="1" applyAlignment="1">
      <alignment vertical="center"/>
    </xf>
    <xf numFmtId="165" fontId="12" fillId="3" borderId="16" xfId="0" applyNumberFormat="1" applyFont="1" applyFill="1" applyBorder="1" applyAlignment="1">
      <alignment horizontal="center" vertical="center"/>
    </xf>
    <xf numFmtId="165" fontId="12" fillId="3" borderId="18" xfId="0" applyNumberFormat="1" applyFont="1" applyFill="1" applyBorder="1" applyAlignment="1">
      <alignment horizontal="center" vertical="center"/>
    </xf>
    <xf numFmtId="165" fontId="12" fillId="3" borderId="19" xfId="0" applyNumberFormat="1" applyFont="1" applyFill="1" applyBorder="1" applyAlignment="1">
      <alignment horizontal="center" vertical="center"/>
    </xf>
    <xf numFmtId="165" fontId="12" fillId="3" borderId="20" xfId="0" applyNumberFormat="1" applyFont="1" applyFill="1" applyBorder="1" applyAlignment="1">
      <alignment horizontal="center" vertical="center"/>
    </xf>
    <xf numFmtId="165" fontId="12" fillId="3" borderId="21" xfId="0" applyNumberFormat="1" applyFont="1" applyFill="1" applyBorder="1" applyAlignment="1">
      <alignment horizontal="center" vertical="center"/>
    </xf>
    <xf numFmtId="165" fontId="12" fillId="3" borderId="22" xfId="0" applyNumberFormat="1" applyFont="1" applyFill="1" applyBorder="1" applyAlignment="1">
      <alignment horizontal="center" vertical="center"/>
    </xf>
    <xf numFmtId="0" fontId="20" fillId="0" borderId="0" xfId="1" applyFont="1" applyAlignment="1"/>
    <xf numFmtId="0" fontId="10" fillId="4" borderId="5" xfId="0" applyFont="1" applyFill="1" applyBorder="1" applyAlignment="1">
      <alignment vertical="center"/>
    </xf>
    <xf numFmtId="167" fontId="11" fillId="4" borderId="5" xfId="0" applyNumberFormat="1" applyFont="1" applyFill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0" fontId="9" fillId="6" borderId="7" xfId="0" applyFont="1" applyFill="1" applyBorder="1"/>
    <xf numFmtId="0" fontId="3" fillId="2" borderId="7" xfId="0" applyFont="1" applyFill="1" applyBorder="1"/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3" fillId="0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0" xfId="0" applyFont="1"/>
    <xf numFmtId="0" fontId="21" fillId="2" borderId="0" xfId="0" applyFont="1" applyFill="1" applyAlignment="1">
      <alignment vertical="center"/>
    </xf>
    <xf numFmtId="0" fontId="18" fillId="0" borderId="0" xfId="1" applyAlignment="1"/>
    <xf numFmtId="0" fontId="13" fillId="2" borderId="0" xfId="0" applyFont="1" applyFill="1" applyAlignment="1">
      <alignment horizontal="center"/>
    </xf>
    <xf numFmtId="0" fontId="14" fillId="3" borderId="0" xfId="0" applyFont="1" applyFill="1"/>
  </cellXfs>
  <cellStyles count="2">
    <cellStyle name="Hyperlink" xfId="1" builtinId="8"/>
    <cellStyle name="Normal" xfId="0" builtinId="0"/>
  </cellStyles>
  <dxfs count="30"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color rgb="FFC62828"/>
      </font>
      <fill>
        <patternFill patternType="solid">
          <bgColor rgb="FFFCE8E6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2E7D32"/>
      </font>
      <fill>
        <patternFill patternType="solid">
          <bgColor rgb="FFE2F0D9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/>
        <color rgb="FFC62828"/>
      </font>
      <fill>
        <patternFill patternType="solid">
          <bgColor rgb="FFFCE8E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8000"/>
        <name val="Aptos"/>
        <scheme val="none"/>
      </font>
      <numFmt numFmtId="165" formatCode="0.0%;[Red]\(0.0%\);\-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E7E6E6"/>
        </top>
        <bottom style="thin">
          <color rgb="FFE7E6E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es-ES"/>
              <a:t>Revenue vs EAC by Villa (USD)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Revenue USD</c:v>
          </c:tx>
          <c:spPr>
            <a:solidFill>
              <a:srgbClr val="156082"/>
            </a:solidFill>
            <a:ln>
              <a:noFill/>
            </a:ln>
            <a:effectLst/>
          </c:spPr>
          <c:invertIfNegative val="1"/>
          <c:cat>
            <c:strRef>
              <c:f>Dashboard!$A$18:$A$26</c:f>
              <c:strCache>
                <c:ptCount val="9"/>
                <c:pt idx="0">
                  <c:v>Horizon Ridge Top</c:v>
                </c:pt>
                <c:pt idx="1">
                  <c:v>Horizon Ridge 3BDR</c:v>
                </c:pt>
                <c:pt idx="2">
                  <c:v>4BDR Canopy House</c:v>
                </c:pt>
                <c:pt idx="3">
                  <c:v>Meadow 1</c:v>
                </c:pt>
                <c:pt idx="4">
                  <c:v>Meadow 2</c:v>
                </c:pt>
                <c:pt idx="5">
                  <c:v>Palm Valley/E1</c:v>
                </c:pt>
                <c:pt idx="6">
                  <c:v>Palm Valley/E2</c:v>
                </c:pt>
                <c:pt idx="7">
                  <c:v>Palm Valley/E3</c:v>
                </c:pt>
                <c:pt idx="8">
                  <c:v>Kiri 3</c:v>
                </c:pt>
              </c:strCache>
            </c:strRef>
          </c:cat>
          <c:val>
            <c:numRef>
              <c:f>Dashboard!$B$18:$B$26</c:f>
              <c:numCache>
                <c:formatCode>\$#,##0;[Red]\(\$#,##0\);\-</c:formatCode>
                <c:ptCount val="9"/>
                <c:pt idx="0">
                  <c:v>3100000</c:v>
                </c:pt>
                <c:pt idx="1">
                  <c:v>2970502.0536795808</c:v>
                </c:pt>
                <c:pt idx="2">
                  <c:v>2650000</c:v>
                </c:pt>
                <c:pt idx="3">
                  <c:v>1350000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1997211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56C8-4008-9C12-637D0D466A10}"/>
            </c:ext>
          </c:extLst>
        </c:ser>
        <c:ser>
          <c:idx val="1"/>
          <c:order val="1"/>
          <c:tx>
            <c:v>EAC Cost USD</c:v>
          </c:tx>
          <c:spPr>
            <a:solidFill>
              <a:srgbClr val="E97132"/>
            </a:solidFill>
            <a:ln>
              <a:noFill/>
            </a:ln>
            <a:effectLst/>
          </c:spPr>
          <c:invertIfNegative val="1"/>
          <c:cat>
            <c:strRef>
              <c:f>Dashboard!$A$18:$A$26</c:f>
              <c:strCache>
                <c:ptCount val="9"/>
                <c:pt idx="0">
                  <c:v>Horizon Ridge Top</c:v>
                </c:pt>
                <c:pt idx="1">
                  <c:v>Horizon Ridge 3BDR</c:v>
                </c:pt>
                <c:pt idx="2">
                  <c:v>4BDR Canopy House</c:v>
                </c:pt>
                <c:pt idx="3">
                  <c:v>Meadow 1</c:v>
                </c:pt>
                <c:pt idx="4">
                  <c:v>Meadow 2</c:v>
                </c:pt>
                <c:pt idx="5">
                  <c:v>Palm Valley/E1</c:v>
                </c:pt>
                <c:pt idx="6">
                  <c:v>Palm Valley/E2</c:v>
                </c:pt>
                <c:pt idx="7">
                  <c:v>Palm Valley/E3</c:v>
                </c:pt>
                <c:pt idx="8">
                  <c:v>Kiri 3</c:v>
                </c:pt>
              </c:strCache>
            </c:strRef>
          </c:cat>
          <c:val>
            <c:numRef>
              <c:f>Dashboard!$C$18:$C$26</c:f>
              <c:numCache>
                <c:formatCode>\$#,##0;[Red]\(\$#,##0\);\-</c:formatCode>
                <c:ptCount val="9"/>
                <c:pt idx="0">
                  <c:v>3010574.4120344063</c:v>
                </c:pt>
                <c:pt idx="1">
                  <c:v>1925561.8736518871</c:v>
                </c:pt>
                <c:pt idx="2">
                  <c:v>2558116.9426299552</c:v>
                </c:pt>
                <c:pt idx="3">
                  <c:v>1072716.0866966702</c:v>
                </c:pt>
                <c:pt idx="4">
                  <c:v>40919.294999699792</c:v>
                </c:pt>
                <c:pt idx="5">
                  <c:v>109021.55107697971</c:v>
                </c:pt>
                <c:pt idx="6">
                  <c:v>154728.29131731359</c:v>
                </c:pt>
                <c:pt idx="7">
                  <c:v>206727.99042248784</c:v>
                </c:pt>
                <c:pt idx="8">
                  <c:v>1172498.1315381753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56C8-4008-9C12-637D0D46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\$#,##0;[Red]\(\$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es-ES"/>
              <a:t>Budget, Actual and EAC by Cost Section (USD)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Budget USD</c:v>
          </c:tx>
          <c:spPr>
            <a:solidFill>
              <a:srgbClr val="156082"/>
            </a:solidFill>
            <a:ln>
              <a:noFill/>
            </a:ln>
            <a:effectLst/>
          </c:spPr>
          <c:invertIfNegative val="1"/>
          <c:cat>
            <c:strRef>
              <c:f>Dashboard!$A$32:$A$38</c:f>
              <c:strCache>
                <c:ptCount val="7"/>
                <c:pt idx="0">
                  <c:v>Hard Costs</c:v>
                </c:pt>
                <c:pt idx="1">
                  <c:v>Soft Costs</c:v>
                </c:pt>
                <c:pt idx="2">
                  <c:v>Project Management</c:v>
                </c:pt>
                <c:pt idx="3">
                  <c:v>Contingency</c:v>
                </c:pt>
                <c:pt idx="4">
                  <c:v>Land</c:v>
                </c:pt>
                <c:pt idx="5">
                  <c:v>Income Tax</c:v>
                </c:pt>
                <c:pt idx="6">
                  <c:v>Other Costs</c:v>
                </c:pt>
              </c:strCache>
            </c:strRef>
          </c:cat>
          <c:val>
            <c:numRef>
              <c:f>Dashboard!$B$32:$B$38</c:f>
              <c:numCache>
                <c:formatCode>\$#,##0;[Red]\(\$#,##0\);\-</c:formatCode>
                <c:ptCount val="7"/>
                <c:pt idx="0">
                  <c:v>6661090.9033149993</c:v>
                </c:pt>
                <c:pt idx="1">
                  <c:v>902126.203522</c:v>
                </c:pt>
                <c:pt idx="2">
                  <c:v>1033698.653333</c:v>
                </c:pt>
                <c:pt idx="3">
                  <c:v>1192289.6073298</c:v>
                </c:pt>
                <c:pt idx="4">
                  <c:v>177120</c:v>
                </c:pt>
                <c:pt idx="5">
                  <c:v>280442.82634198957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DEA-4FD2-BFB5-C13E4B7BAF4D}"/>
            </c:ext>
          </c:extLst>
        </c:ser>
        <c:ser>
          <c:idx val="1"/>
          <c:order val="1"/>
          <c:tx>
            <c:v>Actual USD</c:v>
          </c:tx>
          <c:spPr>
            <a:solidFill>
              <a:srgbClr val="E97132"/>
            </a:solidFill>
            <a:ln>
              <a:noFill/>
            </a:ln>
            <a:effectLst/>
          </c:spPr>
          <c:invertIfNegative val="1"/>
          <c:cat>
            <c:strRef>
              <c:f>Dashboard!$A$32:$A$38</c:f>
              <c:strCache>
                <c:ptCount val="7"/>
                <c:pt idx="0">
                  <c:v>Hard Costs</c:v>
                </c:pt>
                <c:pt idx="1">
                  <c:v>Soft Costs</c:v>
                </c:pt>
                <c:pt idx="2">
                  <c:v>Project Management</c:v>
                </c:pt>
                <c:pt idx="3">
                  <c:v>Contingency</c:v>
                </c:pt>
                <c:pt idx="4">
                  <c:v>Land</c:v>
                </c:pt>
                <c:pt idx="5">
                  <c:v>Income Tax</c:v>
                </c:pt>
                <c:pt idx="6">
                  <c:v>Other Costs</c:v>
                </c:pt>
              </c:strCache>
            </c:strRef>
          </c:cat>
          <c:val>
            <c:numRef>
              <c:f>Dashboard!$C$32:$C$38</c:f>
              <c:numCache>
                <c:formatCode>\$#,##0;[Red]\(\$#,##0\);\-</c:formatCode>
                <c:ptCount val="7"/>
                <c:pt idx="0">
                  <c:v>0</c:v>
                </c:pt>
                <c:pt idx="1">
                  <c:v>413418.17688225355</c:v>
                </c:pt>
                <c:pt idx="2">
                  <c:v>330235.59980313311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677.72231398213046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2DEA-4FD2-BFB5-C13E4B7BAF4D}"/>
            </c:ext>
          </c:extLst>
        </c:ser>
        <c:ser>
          <c:idx val="2"/>
          <c:order val="2"/>
          <c:tx>
            <c:v>EAC USD</c:v>
          </c:tx>
          <c:spPr>
            <a:solidFill>
              <a:srgbClr val="196B24"/>
            </a:solidFill>
            <a:ln>
              <a:noFill/>
            </a:ln>
            <a:effectLst/>
          </c:spPr>
          <c:invertIfNegative val="1"/>
          <c:cat>
            <c:strRef>
              <c:f>Dashboard!$A$32:$A$38</c:f>
              <c:strCache>
                <c:ptCount val="7"/>
                <c:pt idx="0">
                  <c:v>Hard Costs</c:v>
                </c:pt>
                <c:pt idx="1">
                  <c:v>Soft Costs</c:v>
                </c:pt>
                <c:pt idx="2">
                  <c:v>Project Management</c:v>
                </c:pt>
                <c:pt idx="3">
                  <c:v>Contingency</c:v>
                </c:pt>
                <c:pt idx="4">
                  <c:v>Land</c:v>
                </c:pt>
                <c:pt idx="5">
                  <c:v>Income Tax</c:v>
                </c:pt>
                <c:pt idx="6">
                  <c:v>Other Costs</c:v>
                </c:pt>
              </c:strCache>
            </c:strRef>
          </c:cat>
          <c:val>
            <c:numRef>
              <c:f>Dashboard!$D$32:$D$38</c:f>
              <c:numCache>
                <c:formatCode>\$#,##0;[Red]\(\$#,##0\);\-</c:formatCode>
                <c:ptCount val="7"/>
                <c:pt idx="0">
                  <c:v>6661090.9033149993</c:v>
                </c:pt>
                <c:pt idx="1">
                  <c:v>905309.26193067036</c:v>
                </c:pt>
                <c:pt idx="2">
                  <c:v>1033934.2531361331</c:v>
                </c:pt>
                <c:pt idx="3">
                  <c:v>1192289.6073298</c:v>
                </c:pt>
                <c:pt idx="4">
                  <c:v>177120</c:v>
                </c:pt>
                <c:pt idx="5">
                  <c:v>280442.82634198957</c:v>
                </c:pt>
                <c:pt idx="6">
                  <c:v>677.72231398213046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2DEA-4FD2-BFB5-C13E4B7BA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  <c:max val="8000000"/>
        </c:scaling>
        <c:delete val="0"/>
        <c:axPos val="l"/>
        <c:numFmt formatCode="\$#,##0;[Red]\(\$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es-ES"/>
              <a:t>Ending Cash and Funding Pressure (USD)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Ending Cash USD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Pt>
            <c:idx val="0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78-407B-B32C-2BDFA6022521}"/>
              </c:ext>
            </c:extLst>
          </c:dPt>
          <c:dPt>
            <c:idx val="1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A78-407B-B32C-2BDFA6022521}"/>
              </c:ext>
            </c:extLst>
          </c:dPt>
          <c:dPt>
            <c:idx val="2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A78-407B-B32C-2BDFA6022521}"/>
              </c:ext>
            </c:extLst>
          </c:dPt>
          <c:dPt>
            <c:idx val="3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78-407B-B32C-2BDFA6022521}"/>
              </c:ext>
            </c:extLst>
          </c:dPt>
          <c:dPt>
            <c:idx val="4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A78-407B-B32C-2BDFA6022521}"/>
              </c:ext>
            </c:extLst>
          </c:dPt>
          <c:dPt>
            <c:idx val="5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A78-407B-B32C-2BDFA6022521}"/>
              </c:ext>
            </c:extLst>
          </c:dPt>
          <c:dPt>
            <c:idx val="6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A78-407B-B32C-2BDFA6022521}"/>
              </c:ext>
            </c:extLst>
          </c:dPt>
          <c:dPt>
            <c:idx val="7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A78-407B-B32C-2BDFA6022521}"/>
              </c:ext>
            </c:extLst>
          </c:dPt>
          <c:dPt>
            <c:idx val="8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A78-407B-B32C-2BDFA6022521}"/>
              </c:ext>
            </c:extLst>
          </c:dPt>
          <c:dPt>
            <c:idx val="9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A78-407B-B32C-2BDFA6022521}"/>
              </c:ext>
            </c:extLst>
          </c:dPt>
          <c:dPt>
            <c:idx val="10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A78-407B-B32C-2BDFA6022521}"/>
              </c:ext>
            </c:extLst>
          </c:dPt>
          <c:dPt>
            <c:idx val="11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A78-407B-B32C-2BDFA6022521}"/>
              </c:ext>
            </c:extLst>
          </c:dPt>
          <c:dPt>
            <c:idx val="12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A78-407B-B32C-2BDFA6022521}"/>
              </c:ext>
            </c:extLst>
          </c:dPt>
          <c:dPt>
            <c:idx val="13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A78-407B-B32C-2BDFA6022521}"/>
              </c:ext>
            </c:extLst>
          </c:dPt>
          <c:dPt>
            <c:idx val="14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A78-407B-B32C-2BDFA6022521}"/>
              </c:ext>
            </c:extLst>
          </c:dPt>
          <c:dPt>
            <c:idx val="15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A78-407B-B32C-2BDFA6022521}"/>
              </c:ext>
            </c:extLst>
          </c:dPt>
          <c:dPt>
            <c:idx val="16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A78-407B-B32C-2BDFA6022521}"/>
              </c:ext>
            </c:extLst>
          </c:dPt>
          <c:dPt>
            <c:idx val="17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A78-407B-B32C-2BDFA6022521}"/>
              </c:ext>
            </c:extLst>
          </c:dPt>
          <c:dPt>
            <c:idx val="18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5-BA78-407B-B32C-2BDFA6022521}"/>
              </c:ext>
            </c:extLst>
          </c:dPt>
          <c:dPt>
            <c:idx val="19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7-BA78-407B-B32C-2BDFA6022521}"/>
              </c:ext>
            </c:extLst>
          </c:dPt>
          <c:dPt>
            <c:idx val="20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9-BA78-407B-B32C-2BDFA6022521}"/>
              </c:ext>
            </c:extLst>
          </c:dPt>
          <c:dPt>
            <c:idx val="21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B-BA78-407B-B32C-2BDFA6022521}"/>
              </c:ext>
            </c:extLst>
          </c:dPt>
          <c:dPt>
            <c:idx val="22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D-BA78-407B-B32C-2BDFA6022521}"/>
              </c:ext>
            </c:extLst>
          </c:dPt>
          <c:dPt>
            <c:idx val="23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F-BA78-407B-B32C-2BDFA6022521}"/>
              </c:ext>
            </c:extLst>
          </c:dPt>
          <c:dPt>
            <c:idx val="24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1-BA78-407B-B32C-2BDFA6022521}"/>
              </c:ext>
            </c:extLst>
          </c:dPt>
          <c:dPt>
            <c:idx val="25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3-BA78-407B-B32C-2BDFA6022521}"/>
              </c:ext>
            </c:extLst>
          </c:dPt>
          <c:dPt>
            <c:idx val="26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5-BA78-407B-B32C-2BDFA6022521}"/>
              </c:ext>
            </c:extLst>
          </c:dPt>
          <c:dPt>
            <c:idx val="27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7-BA78-407B-B32C-2BDFA6022521}"/>
              </c:ext>
            </c:extLst>
          </c:dPt>
          <c:dPt>
            <c:idx val="28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9-BA78-407B-B32C-2BDFA6022521}"/>
              </c:ext>
            </c:extLst>
          </c:dPt>
          <c:dPt>
            <c:idx val="29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B-BA78-407B-B32C-2BDFA6022521}"/>
              </c:ext>
            </c:extLst>
          </c:dPt>
          <c:dPt>
            <c:idx val="30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D-BA78-407B-B32C-2BDFA6022521}"/>
              </c:ext>
            </c:extLst>
          </c:dPt>
          <c:dPt>
            <c:idx val="31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F-BA78-407B-B32C-2BDFA6022521}"/>
              </c:ext>
            </c:extLst>
          </c:dPt>
          <c:dPt>
            <c:idx val="32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1-BA78-407B-B32C-2BDFA6022521}"/>
              </c:ext>
            </c:extLst>
          </c:dPt>
          <c:dPt>
            <c:idx val="33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3-BA78-407B-B32C-2BDFA6022521}"/>
              </c:ext>
            </c:extLst>
          </c:dPt>
          <c:dPt>
            <c:idx val="34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5-BA78-407B-B32C-2BDFA6022521}"/>
              </c:ext>
            </c:extLst>
          </c:dPt>
          <c:dPt>
            <c:idx val="35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7-BA78-407B-B32C-2BDFA6022521}"/>
              </c:ext>
            </c:extLst>
          </c:dPt>
          <c:dPt>
            <c:idx val="36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9-BA78-407B-B32C-2BDFA6022521}"/>
              </c:ext>
            </c:extLst>
          </c:dPt>
          <c:dPt>
            <c:idx val="37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B-BA78-407B-B32C-2BDFA6022521}"/>
              </c:ext>
            </c:extLst>
          </c:dPt>
          <c:dPt>
            <c:idx val="38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D-BA78-407B-B32C-2BDFA6022521}"/>
              </c:ext>
            </c:extLst>
          </c:dPt>
          <c:dPt>
            <c:idx val="39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F-BA78-407B-B32C-2BDFA6022521}"/>
              </c:ext>
            </c:extLst>
          </c:dPt>
          <c:dPt>
            <c:idx val="40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1-BA78-407B-B32C-2BDFA6022521}"/>
              </c:ext>
            </c:extLst>
          </c:dPt>
          <c:dPt>
            <c:idx val="41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3-BA78-407B-B32C-2BDFA6022521}"/>
              </c:ext>
            </c:extLst>
          </c:dPt>
          <c:dPt>
            <c:idx val="42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5-BA78-407B-B32C-2BDFA6022521}"/>
              </c:ext>
            </c:extLst>
          </c:dPt>
          <c:dPt>
            <c:idx val="43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7-BA78-407B-B32C-2BDFA6022521}"/>
              </c:ext>
            </c:extLst>
          </c:dPt>
          <c:dPt>
            <c:idx val="44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9-BA78-407B-B32C-2BDFA6022521}"/>
              </c:ext>
            </c:extLst>
          </c:dPt>
          <c:dPt>
            <c:idx val="45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B-BA78-407B-B32C-2BDFA6022521}"/>
              </c:ext>
            </c:extLst>
          </c:dPt>
          <c:dPt>
            <c:idx val="46"/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D-BA78-407B-B32C-2BDFA6022521}"/>
              </c:ext>
            </c:extLst>
          </c:dPt>
          <c:cat>
            <c:numRef>
              <c:f>Dashboard!$A$44:$A$90</c:f>
              <c:numCache>
                <c:formatCode>mmm\ yyyy</c:formatCode>
                <c:ptCount val="47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</c:numCache>
            </c:numRef>
          </c:cat>
          <c:val>
            <c:numRef>
              <c:f>Dashboard!$B$44:$B$90</c:f>
              <c:numCache>
                <c:formatCode>\$#,##0;[Red]\(\$#,##0\);\-</c:formatCode>
                <c:ptCount val="47"/>
                <c:pt idx="0">
                  <c:v>-7489.040428641013</c:v>
                </c:pt>
                <c:pt idx="1">
                  <c:v>-7489.040428641013</c:v>
                </c:pt>
                <c:pt idx="2">
                  <c:v>-9985.9193300142961</c:v>
                </c:pt>
                <c:pt idx="3">
                  <c:v>-17540.581046185915</c:v>
                </c:pt>
                <c:pt idx="4">
                  <c:v>-49135.03821213419</c:v>
                </c:pt>
                <c:pt idx="5">
                  <c:v>-49139.985397586788</c:v>
                </c:pt>
                <c:pt idx="6">
                  <c:v>-49139.985397586788</c:v>
                </c:pt>
                <c:pt idx="7">
                  <c:v>-50704.489890273871</c:v>
                </c:pt>
                <c:pt idx="8">
                  <c:v>-57163.661811519531</c:v>
                </c:pt>
                <c:pt idx="9">
                  <c:v>-73145.97737325303</c:v>
                </c:pt>
                <c:pt idx="10">
                  <c:v>132934.11317089549</c:v>
                </c:pt>
                <c:pt idx="11">
                  <c:v>68998.805828616314</c:v>
                </c:pt>
                <c:pt idx="12">
                  <c:v>246581.36007111991</c:v>
                </c:pt>
                <c:pt idx="13">
                  <c:v>106138.29519282735</c:v>
                </c:pt>
                <c:pt idx="14">
                  <c:v>72649.498526160693</c:v>
                </c:pt>
                <c:pt idx="15">
                  <c:v>34325.386859494029</c:v>
                </c:pt>
                <c:pt idx="16">
                  <c:v>-70374.452499839303</c:v>
                </c:pt>
                <c:pt idx="17">
                  <c:v>-169984.43242517265</c:v>
                </c:pt>
                <c:pt idx="18">
                  <c:v>-219993.16755250597</c:v>
                </c:pt>
                <c:pt idx="19">
                  <c:v>-251022.8210858393</c:v>
                </c:pt>
                <c:pt idx="20">
                  <c:v>-286735.78042383929</c:v>
                </c:pt>
                <c:pt idx="21">
                  <c:v>72174.542542160721</c:v>
                </c:pt>
                <c:pt idx="22">
                  <c:v>44674.542542160721</c:v>
                </c:pt>
                <c:pt idx="23">
                  <c:v>2991211.7365577808</c:v>
                </c:pt>
                <c:pt idx="24">
                  <c:v>2457192.3224480776</c:v>
                </c:pt>
                <c:pt idx="25">
                  <c:v>1923172.9083383742</c:v>
                </c:pt>
                <c:pt idx="26">
                  <c:v>1389153.4942286708</c:v>
                </c:pt>
                <c:pt idx="27">
                  <c:v>855134.08011896745</c:v>
                </c:pt>
                <c:pt idx="28">
                  <c:v>321114.66600926407</c:v>
                </c:pt>
                <c:pt idx="29">
                  <c:v>1983503.1181280743</c:v>
                </c:pt>
                <c:pt idx="30">
                  <c:v>1486879.2346952735</c:v>
                </c:pt>
                <c:pt idx="31">
                  <c:v>990255.35126247257</c:v>
                </c:pt>
                <c:pt idx="32">
                  <c:v>493631.46782967163</c:v>
                </c:pt>
                <c:pt idx="33">
                  <c:v>-2992.4156031293096</c:v>
                </c:pt>
                <c:pt idx="34">
                  <c:v>-499616.29903593025</c:v>
                </c:pt>
                <c:pt idx="35">
                  <c:v>2175730.392933392</c:v>
                </c:pt>
                <c:pt idx="36">
                  <c:v>1710771.7633934347</c:v>
                </c:pt>
                <c:pt idx="37">
                  <c:v>1245813.1338534774</c:v>
                </c:pt>
                <c:pt idx="38">
                  <c:v>780854.50431352016</c:v>
                </c:pt>
                <c:pt idx="39">
                  <c:v>315895.87477356283</c:v>
                </c:pt>
                <c:pt idx="40">
                  <c:v>-149062.7547663945</c:v>
                </c:pt>
                <c:pt idx="41">
                  <c:v>1530407.617911926</c:v>
                </c:pt>
                <c:pt idx="42">
                  <c:v>1496898.1582294023</c:v>
                </c:pt>
                <c:pt idx="43">
                  <c:v>1463388.6985468785</c:v>
                </c:pt>
                <c:pt idx="44">
                  <c:v>1463388.6985468785</c:v>
                </c:pt>
                <c:pt idx="45">
                  <c:v>1463388.6985468785</c:v>
                </c:pt>
                <c:pt idx="46">
                  <c:v>1005825.872204889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5E-BA78-407B-B32C-2BDFA6022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  <c:max val="4000000"/>
          <c:min val="-800000"/>
        </c:scaling>
        <c:delete val="0"/>
        <c:axPos val="l"/>
        <c:numFmt formatCode="\$#,##0;[Red]\(\$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14</xdr:col>
      <xdr:colOff>0</xdr:colOff>
      <xdr:row>49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52</xdr:row>
      <xdr:rowOff>0</xdr:rowOff>
    </xdr:from>
    <xdr:to>
      <xdr:col>15</xdr:col>
      <xdr:colOff>228600</xdr:colOff>
      <xdr:row>71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25E316BB-2B6A-4270-976E-8DA287201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2400300</xdr:colOff>
      <xdr:row>24</xdr:row>
      <xdr:rowOff>47625</xdr:rowOff>
    </xdr:to>
    <xdr:sp macro="" textlink="">
      <xdr:nvSpPr>
        <xdr:cNvPr id="2053" name="Text Box 5" hidden="1">
          <a:extLst>
            <a:ext uri="{FF2B5EF4-FFF2-40B4-BE49-F238E27FC236}">
              <a16:creationId xmlns:a16="http://schemas.microsoft.com/office/drawing/2014/main" id="{8891A687-6D21-A714-9A34-1F4AA21269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4762500" cy="476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266700</xdr:colOff>
      <xdr:row>23</xdr:row>
      <xdr:rowOff>9525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A3B8B6D1-6873-11F2-390D-10C7E827DF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4762500" cy="476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saac Martinez" id="{C0F534BD-515D-4F59-8281-1C3FCC0B5889}" userId="" providerId="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Villa_Register" displayName="Villa_Register" ref="A5:Q14" totalsRowShown="0">
  <tableColumns count="17">
    <tableColumn id="1" xr3:uid="{00000000-0010-0000-0200-000001000000}" name="Villa ID"/>
    <tableColumn id="2" xr3:uid="{00000000-0010-0000-0200-000002000000}" name="Cluster"/>
    <tableColumn id="3" xr3:uid="{00000000-0010-0000-0200-000003000000}" name="Villa"/>
    <tableColumn id="4" xr3:uid="{00000000-0010-0000-0200-000004000000}" name="Buyer"/>
    <tableColumn id="5" xr3:uid="{00000000-0010-0000-0200-000005000000}" name="Status"/>
    <tableColumn id="6" xr3:uid="{00000000-0010-0000-0200-000006000000}" name="Phase 1"/>
    <tableColumn id="7" xr3:uid="{00000000-0010-0000-0200-000007000000}" name="Building m²"/>
    <tableColumn id="8" xr3:uid="{00000000-0010-0000-0200-000008000000}" name="Outdoor m²"/>
    <tableColumn id="9" xr3:uid="{00000000-0010-0000-0200-000009000000}" name="Total buildup m²"/>
    <tableColumn id="10" xr3:uid="{00000000-0010-0000-0200-00000A000000}" name="Land plot m²"/>
    <tableColumn id="11" xr3:uid="{00000000-0010-0000-0200-00000B000000}" name="Net sale price USD"/>
    <tableColumn id="12" xr3:uid="{00000000-0010-0000-0200-00000C000000}" name="Delayed income USD"/>
    <tableColumn id="13" xr3:uid="{00000000-0010-0000-0200-00000D000000}" name="Gross cash budget USD"/>
    <tableColumn id="14" xr3:uid="{00000000-0010-0000-0200-00000E000000}" name="Building factor"/>
    <tableColumn id="15" xr3:uid="{00000000-0010-0000-0200-00000F000000}" name="Outdoor factor"/>
    <tableColumn id="16" xr3:uid="{00000000-0010-0000-0200-000010000000}" name="Buildup factor"/>
    <tableColumn id="17" xr3:uid="{00000000-0010-0000-0200-000011000000}" name="Land facto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Sales_Receipt_Plan" displayName="Sales_Receipt_Plan" ref="A5:I42" totalsRowShown="0">
  <tableColumns count="9">
    <tableColumn id="1" xr3:uid="{00000000-0010-0000-0900-000001000000}" name="Villa"/>
    <tableColumn id="2" xr3:uid="{00000000-0010-0000-0900-000002000000}" name="Milestone"/>
    <tableColumn id="3" xr3:uid="{00000000-0010-0000-0900-000003000000}" name="Forecast Date"/>
    <tableColumn id="4" xr3:uid="{00000000-0010-0000-0900-000004000000}" name="% of Remaining"/>
    <tableColumn id="5" xr3:uid="{00000000-0010-0000-0900-000005000000}" name="Gross Cash Budget USD"/>
    <tableColumn id="6" xr3:uid="{00000000-0010-0000-0900-000006000000}" name="Actual Received USD"/>
    <tableColumn id="7" xr3:uid="{00000000-0010-0000-0900-000007000000}" name="Remaining Receipts USD"/>
    <tableColumn id="8" xr3:uid="{00000000-0010-0000-0900-000008000000}" name="Planned Receipt USD"/>
    <tableColumn id="9" xr3:uid="{00000000-0010-0000-0900-000009000000}" name="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Development_Budget" displayName="Development_Budget" ref="A6:AV38" totalsRowShown="0">
  <tableColumns count="48">
    <tableColumn id="1" xr3:uid="{00000000-0010-0000-0800-000001000000}" name="Budget ID"/>
    <tableColumn id="2" xr3:uid="{00000000-0010-0000-0800-000002000000}" name="Section"/>
    <tableColumn id="3" xr3:uid="{00000000-0010-0000-0800-000003000000}" name="Category"/>
    <tableColumn id="4" xr3:uid="{00000000-0010-0000-0800-000004000000}" name="In Unit P&amp;L"/>
    <tableColumn id="5" xr3:uid="{00000000-0010-0000-0800-000005000000}" name="Allocation Basis"/>
    <tableColumn id="6" xr3:uid="{00000000-0010-0000-0800-000006000000}" name="Input Amount USD"/>
    <tableColumn id="7" xr3:uid="{00000000-0010-0000-0800-000007000000}" name="Total Budget USD"/>
    <tableColumn id="8" xr3:uid="{00000000-0010-0000-0800-000008000000}" name="Actual Paid USD"/>
    <tableColumn id="9" xr3:uid="{00000000-0010-0000-0800-000009000000}" name="Remaining USD"/>
    <tableColumn id="10" xr3:uid="{00000000-0010-0000-0800-00000A000000}" name="EAC USD"/>
    <tableColumn id="11" xr3:uid="{00000000-0010-0000-0800-00000B000000}" name="Schedule Start"/>
    <tableColumn id="12" xr3:uid="{00000000-0010-0000-0800-00000C000000}" name="Schedule End"/>
    <tableColumn id="13" xr3:uid="{00000000-0010-0000-0800-00000D000000}" name="Forecast Months"/>
    <tableColumn id="14" xr3:uid="{00000000-0010-0000-0800-00000E000000}" name="Source / Notes"/>
    <tableColumn id="15" xr3:uid="{00000000-0010-0000-0800-00000F000000}" name="Horizon Ridge Top"/>
    <tableColumn id="16" xr3:uid="{00000000-0010-0000-0800-000010000000}" name="Horizon Ridge 3BDR"/>
    <tableColumn id="17" xr3:uid="{00000000-0010-0000-0800-000011000000}" name="4BDR Canopy House"/>
    <tableColumn id="18" xr3:uid="{00000000-0010-0000-0800-000012000000}" name="Meadow 1"/>
    <tableColumn id="19" xr3:uid="{00000000-0010-0000-0800-000013000000}" name="Meadow 2"/>
    <tableColumn id="20" xr3:uid="{00000000-0010-0000-0800-000014000000}" name="Palm Valley/E1"/>
    <tableColumn id="21" xr3:uid="{00000000-0010-0000-0800-000015000000}" name="Palm Valley/E2"/>
    <tableColumn id="22" xr3:uid="{00000000-0010-0000-0800-000016000000}" name="Palm Valley/E3"/>
    <tableColumn id="23" xr3:uid="{00000000-0010-0000-0800-000017000000}" name="Kiri 3"/>
    <tableColumn id="24" xr3:uid="{00000000-0010-0000-0800-000018000000}" name="Horizon Ridge Top2"/>
    <tableColumn id="25" xr3:uid="{00000000-0010-0000-0800-000019000000}" name="Horizon Ridge 3BDR3"/>
    <tableColumn id="26" xr3:uid="{00000000-0010-0000-0800-00001A000000}" name="4BDR Canopy House4"/>
    <tableColumn id="27" xr3:uid="{00000000-0010-0000-0800-00001B000000}" name="Meadow 15"/>
    <tableColumn id="28" xr3:uid="{00000000-0010-0000-0800-00001C000000}" name="Meadow 26"/>
    <tableColumn id="29" xr3:uid="{00000000-0010-0000-0800-00001D000000}" name="Palm Valley/E17"/>
    <tableColumn id="30" xr3:uid="{00000000-0010-0000-0800-00001E000000}" name="Palm Valley/E28"/>
    <tableColumn id="31" xr3:uid="{00000000-0010-0000-0800-00001F000000}" name="Palm Valley/E39"/>
    <tableColumn id="32" xr3:uid="{00000000-0010-0000-0800-000020000000}" name="Kiri 310"/>
    <tableColumn id="33" xr3:uid="{00000000-0010-0000-0800-000021000000}" name="Direct Denom"/>
    <tableColumn id="34" xr3:uid="{00000000-0010-0000-0800-000022000000}" name="Building Denom"/>
    <tableColumn id="35" xr3:uid="{00000000-0010-0000-0800-000023000000}" name="Plot Denom"/>
    <tableColumn id="36" xr3:uid="{00000000-0010-0000-0800-000024000000}" name="Revenue Denom"/>
    <tableColumn id="37" xr3:uid="{00000000-0010-0000-0800-000025000000}" name="Equal Denom"/>
    <tableColumn id="38" xr3:uid="{00000000-0010-0000-0800-000026000000}" name="Selected Denom"/>
    <tableColumn id="39" xr3:uid="{00000000-0010-0000-0800-000027000000}" name="Horizon Ridge Top Weight"/>
    <tableColumn id="40" xr3:uid="{00000000-0010-0000-0800-000028000000}" name="Horizon Ridge 3BDR Weight"/>
    <tableColumn id="41" xr3:uid="{00000000-0010-0000-0800-000029000000}" name="4BDR Canopy House Weight"/>
    <tableColumn id="42" xr3:uid="{00000000-0010-0000-0800-00002A000000}" name="Meadow 1 Weight"/>
    <tableColumn id="43" xr3:uid="{00000000-0010-0000-0800-00002B000000}" name="Meadow 2 Weight"/>
    <tableColumn id="44" xr3:uid="{00000000-0010-0000-0800-00002C000000}" name="Palm Valley/E1 Weight"/>
    <tableColumn id="45" xr3:uid="{00000000-0010-0000-0800-00002D000000}" name="Palm Valley/E2 Weight"/>
    <tableColumn id="46" xr3:uid="{00000000-0010-0000-0800-00002E000000}" name="Palm Valley/E3 Weight"/>
    <tableColumn id="47" xr3:uid="{00000000-0010-0000-0800-00002F000000}" name="Kiri 3 Weight"/>
    <tableColumn id="48" xr3:uid="{A03620BD-DB8C-4020-AF2D-42F21FE7032E}" name="Check" dataDxfId="29">
      <calculatedColumnFormula>SUM(Development_Budget[[#This Row],[Horizon Ridge Top Weight]:[Kiri 3 Weight]])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X_Assumptions" displayName="FX_Assumptions" ref="F5:H53" totalsRowShown="0">
  <tableColumns count="3">
    <tableColumn id="1" xr3:uid="{00000000-0010-0000-0000-000001000000}" name="Year"/>
    <tableColumn id="2" xr3:uid="{00000000-0010-0000-0000-000002000000}" name="Month"/>
    <tableColumn id="3" xr3:uid="{00000000-0010-0000-0000-000003000000}" name="Average IDR / US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ategory_Map" displayName="Category_Map" ref="J5:M24" totalsRowShown="0">
  <tableColumns count="4">
    <tableColumn id="1" xr3:uid="{00000000-0010-0000-0100-000001000000}" name="Original Type"/>
    <tableColumn id="2" xr3:uid="{00000000-0010-0000-0100-000002000000}" name="Standard Category"/>
    <tableColumn id="3" xr3:uid="{00000000-0010-0000-0100-000003000000}" name="Treatment"/>
    <tableColumn id="4" xr3:uid="{00000000-0010-0000-0100-000004000000}" name="Review No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Vendor_Master" displayName="Vendor_Master" ref="A5:F41" totalsRowShown="0">
  <tableColumns count="6">
    <tableColumn id="1" xr3:uid="{00000000-0010-0000-0300-000001000000}" name="Vendor ID"/>
    <tableColumn id="2" xr3:uid="{00000000-0010-0000-0300-000002000000}" name="Vendor"/>
    <tableColumn id="3" xr3:uid="{00000000-0010-0000-0300-000003000000}" name="Original Role"/>
    <tableColumn id="4" xr3:uid="{00000000-0010-0000-0300-000004000000}" name="Standard Category"/>
    <tableColumn id="5" xr3:uid="{00000000-0010-0000-0300-000005000000}" name="Active"/>
    <tableColumn id="6" xr3:uid="{00000000-0010-0000-0300-000006000000}" name="Note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Bank_IDR_Feed" displayName="Bank_IDR_Feed" ref="A7:M71" totalsRowShown="0">
  <tableColumns count="13">
    <tableColumn id="1" xr3:uid="{00000000-0010-0000-0400-000001000000}" name="Account"/>
    <tableColumn id="2" xr3:uid="{00000000-0010-0000-0400-000002000000}" name="Post Date"/>
    <tableColumn id="3" xr3:uid="{00000000-0010-0000-0400-000003000000}" name="Effective Date"/>
    <tableColumn id="4" xr3:uid="{00000000-0010-0000-0400-000004000000}" name="Cheque No"/>
    <tableColumn id="5" xr3:uid="{00000000-0010-0000-0400-000005000000}" name="Description / Remarks"/>
    <tableColumn id="6" xr3:uid="{00000000-0010-0000-0400-000006000000}" name="Debit IDR"/>
    <tableColumn id="7" xr3:uid="{00000000-0010-0000-0400-000007000000}" name="Credit IDR"/>
    <tableColumn id="8" xr3:uid="{00000000-0010-0000-0400-000008000000}" name="Reported Balance IDR"/>
    <tableColumn id="9" xr3:uid="{00000000-0010-0000-0400-000009000000}" name="Transaction Code"/>
    <tableColumn id="10" xr3:uid="{00000000-0010-0000-0400-00000A000000}" name="Reference No"/>
    <tableColumn id="11" xr3:uid="{00000000-0010-0000-0400-00000B000000}" name="Internal Transfer"/>
    <tableColumn id="12" xr3:uid="{00000000-0010-0000-0400-00000C000000}" name="Net Movement"/>
    <tableColumn id="13" xr3:uid="{00000000-0010-0000-0400-00000D000000}" name="Ledger Match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ank_USD_Feed" displayName="Bank_USD_Feed" ref="A7:M60" totalsRowShown="0">
  <tableColumns count="13">
    <tableColumn id="1" xr3:uid="{00000000-0010-0000-0500-000001000000}" name="Account"/>
    <tableColumn id="2" xr3:uid="{00000000-0010-0000-0500-000002000000}" name="Post Date"/>
    <tableColumn id="3" xr3:uid="{00000000-0010-0000-0500-000003000000}" name="Effective Date"/>
    <tableColumn id="4" xr3:uid="{00000000-0010-0000-0500-000004000000}" name="Cheque No"/>
    <tableColumn id="5" xr3:uid="{00000000-0010-0000-0500-000005000000}" name="Description / Remarks"/>
    <tableColumn id="6" xr3:uid="{00000000-0010-0000-0500-000006000000}" name="Debit USD"/>
    <tableColumn id="7" xr3:uid="{00000000-0010-0000-0500-000007000000}" name="Credit USD"/>
    <tableColumn id="8" xr3:uid="{00000000-0010-0000-0500-000008000000}" name="Reported Balance USD"/>
    <tableColumn id="9" xr3:uid="{00000000-0010-0000-0500-000009000000}" name="Transaction Code"/>
    <tableColumn id="10" xr3:uid="{00000000-0010-0000-0500-00000A000000}" name="Reference No"/>
    <tableColumn id="11" xr3:uid="{00000000-0010-0000-0500-00000B000000}" name="Internal Transfer"/>
    <tableColumn id="12" xr3:uid="{00000000-0010-0000-0500-00000C000000}" name="Net Movement"/>
    <tableColumn id="13" xr3:uid="{00000000-0010-0000-0500-00000D000000}" name="Ledger Match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Outflow_Ledger" displayName="Outflow_Ledger" ref="A6:Q163" totalsRowShown="0">
  <tableColumns count="17">
    <tableColumn id="1" xr3:uid="{00000000-0010-0000-0600-000001000000}" name="Txn ID"/>
    <tableColumn id="2" xr3:uid="{00000000-0010-0000-0600-000002000000}" name="Date"/>
    <tableColumn id="3" xr3:uid="{00000000-0010-0000-0600-000003000000}" name="Bank / Account"/>
    <tableColumn id="4" xr3:uid="{00000000-0010-0000-0600-000004000000}" name="Source"/>
    <tableColumn id="5" xr3:uid="{00000000-0010-0000-0600-000005000000}" name="Reference No"/>
    <tableColumn id="6" xr3:uid="{00000000-0010-0000-0600-000006000000}" name="Vendor"/>
    <tableColumn id="7" xr3:uid="{00000000-0010-0000-0600-000007000000}" name="Original Type"/>
    <tableColumn id="8" xr3:uid="{00000000-0010-0000-0600-000008000000}" name="Standard Category"/>
    <tableColumn id="9" xr3:uid="{00000000-0010-0000-0600-000009000000}" name="Villa Tag"/>
    <tableColumn id="10" xr3:uid="{00000000-0010-0000-0600-00000A000000}" name="Amount IDR"/>
    <tableColumn id="11" xr3:uid="{00000000-0010-0000-0600-00000B000000}" name="FX IDR / USD"/>
    <tableColumn id="12" xr3:uid="{00000000-0010-0000-0600-00000C000000}" name="Amount USD"/>
    <tableColumn id="13" xr3:uid="{00000000-0010-0000-0600-00000D000000}" name="Period"/>
    <tableColumn id="14" xr3:uid="{00000000-0010-0000-0600-00000E000000}" name="Bank Status"/>
    <tableColumn id="15" xr3:uid="{00000000-0010-0000-0600-00000F000000}" name="Budget Flag"/>
    <tableColumn id="16" xr3:uid="{00000000-0010-0000-0600-000010000000}" name="Description / Note"/>
    <tableColumn id="17" xr3:uid="{00000000-0010-0000-0600-000011000000}" name="Source Row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Inflow_Ledger" displayName="Inflow_Ledger" ref="A6:P29" totalsRowShown="0">
  <autoFilter ref="A6:P29" xr:uid="{00000000-000C-0000-FFFF-FFFF07000000}">
    <filterColumn colId="6">
      <filters>
        <filter val="Meadow 1"/>
      </filters>
    </filterColumn>
  </autoFilter>
  <tableColumns count="16">
    <tableColumn id="1" xr3:uid="{00000000-0010-0000-0700-000001000000}" name="Txn ID"/>
    <tableColumn id="2" xr3:uid="{00000000-0010-0000-0700-000002000000}" name="Date"/>
    <tableColumn id="3" xr3:uid="{00000000-0010-0000-0700-000003000000}" name="Bank / Account"/>
    <tableColumn id="4" xr3:uid="{00000000-0010-0000-0700-000004000000}" name="Reference No"/>
    <tableColumn id="5" xr3:uid="{00000000-0010-0000-0700-000005000000}" name="Income Source"/>
    <tableColumn id="6" xr3:uid="{00000000-0010-0000-0700-000006000000}" name="Original Type"/>
    <tableColumn id="7" xr3:uid="{00000000-0010-0000-0700-000007000000}" name="Standard Unit / Type"/>
    <tableColumn id="8" xr3:uid="{00000000-0010-0000-0700-000008000000}" name="Amount IDR"/>
    <tableColumn id="9" xr3:uid="{00000000-0010-0000-0700-000009000000}" name="FX IDR / USD"/>
    <tableColumn id="10" xr3:uid="{00000000-0010-0000-0700-00000A000000}" name="Amount USD"/>
    <tableColumn id="11" xr3:uid="{00000000-0010-0000-0700-00000B000000}" name="Period"/>
    <tableColumn id="12" xr3:uid="{00000000-0010-0000-0700-00000C000000}" name="Bank Status"/>
    <tableColumn id="13" xr3:uid="{00000000-0010-0000-0700-00000D000000}" name="Budgeted Income USD"/>
    <tableColumn id="14" xr3:uid="{00000000-0010-0000-0700-00000E000000}" name="Variance USD"/>
    <tableColumn id="15" xr3:uid="{00000000-0010-0000-0700-00000F000000}" name="Description / Note"/>
    <tableColumn id="16" xr3:uid="{00000000-0010-0000-0700-000010000000}" name="Source Row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Model_Checks" displayName="Model_Checks" ref="A8:H25" totalsRowShown="0">
  <tableColumns count="8">
    <tableColumn id="1" xr3:uid="{00000000-0010-0000-0A00-000001000000}" name="ID"/>
    <tableColumn id="2" xr3:uid="{00000000-0010-0000-0A00-000002000000}" name="Check"/>
    <tableColumn id="3" xr3:uid="{00000000-0010-0000-0A00-000003000000}" name="Actual"/>
    <tableColumn id="4" xr3:uid="{00000000-0010-0000-0A00-000004000000}" name="Expected"/>
    <tableColumn id="5" xr3:uid="{00000000-0010-0000-0A00-000005000000}" name="Difference"/>
    <tableColumn id="6" xr3:uid="{00000000-0010-0000-0A00-000006000000}" name="Tolerance"/>
    <tableColumn id="7" xr3:uid="{00000000-0010-0000-0A00-000007000000}" name="Status"/>
    <tableColumn id="8" xr3:uid="{00000000-0010-0000-0A00-000008000000}" name="Where to fix /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4" dT="2026-07-27T11:57:04.57" personId="{C0F534BD-515D-4F59-8281-1C3FCC0B5889}" id="{B310A3AA-9EB3-4111-3146-8630AF3191C6}">
    <text>Source: legacy Cost Allocation summary. This is a genuine source input, not a derived value.</text>
  </threadedComment>
  <threadedComment ref="G30" dT="2026-07-27T11:57:04.57" personId="{C0F534BD-515D-4F59-8281-1C3FCC0B5889}" id="{AADD5B93-B27A-A21C-4093-E5E288B3BFDE}">
    <text>Formula: contingency rate multiplied by the six core hard-cost categories, matching the legacy model logic.</text>
  </threadedComment>
  <threadedComment ref="G33" dT="2026-07-27T11:57:04.57" personId="{C0F534BD-515D-4F59-8281-1C3FCC0B5889}" id="{3FA27048-0ECF-CBAB-0C97-A6AB8DFE151A}">
    <text>Formula: net contracted sales multiplied by the Income Tax assumption.</text>
  </threadedComment>
  <threadedComment ref="G34" dT="2026-07-27T11:57:04.57" personId="{C0F534BD-515D-4F59-8281-1C3FCC0B5889}" id="{3A71DACB-FABE-2032-74C5-07BCDF05822F}">
    <text>Cash-only VAT budget. Excluded from Unit P&amp;L and linked to gross forecast sales receipts in Cash Flow.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6" dT="2026-07-27T11:57:04.53" personId="{C0F534BD-515D-4F59-8281-1C3FCC0B5889}" id="{BDDF98E8-6F30-9D6A-714A-17145FEE3EFC}">
    <text>Source: legacy Info tab. Used only when a monthly FX rate is unavailable.</text>
  </threadedComment>
  <threadedComment ref="B8" dT="2026-07-27T11:57:04.53" personId="{C0F534BD-515D-4F59-8281-1C3FCC0B5889}" id="{BABFDBD5-1AEB-A583-15EE-27D8ECFB4CD6}">
    <text>Source: legacy Info tab. Applied to the six core hard-cost categories, excluding New Infrastructure.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58F70DA-4B7D-4FE4-9D38-E943AA9FD44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f6961f43-cc94-4e46-b1fc-f4033cb1cdd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table" Target="../tables/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7"/>
  <sheetViews>
    <sheetView showGridLines="0" workbookViewId="0">
      <selection activeCell="F32" sqref="F32"/>
    </sheetView>
  </sheetViews>
  <sheetFormatPr defaultRowHeight="13.5"/>
  <cols>
    <col min="1" max="1" width="23" customWidth="1"/>
    <col min="2" max="2" width="34" customWidth="1"/>
    <col min="3" max="3" width="14" customWidth="1"/>
    <col min="4" max="4" width="21.875" customWidth="1"/>
    <col min="5" max="5" width="18" customWidth="1"/>
    <col min="6" max="6" width="7.375" customWidth="1"/>
    <col min="7" max="7" width="17.75" customWidth="1"/>
    <col min="8" max="8" width="18" customWidth="1"/>
    <col min="9" max="9" width="13" customWidth="1"/>
    <col min="10" max="10" width="20.625" customWidth="1"/>
    <col min="11" max="12" width="19" customWidth="1"/>
  </cols>
  <sheetData>
    <row r="1" spans="1:11" ht="30" customHeight="1">
      <c r="A1" s="113" t="s">
        <v>0</v>
      </c>
      <c r="B1" s="113"/>
      <c r="C1" s="113"/>
      <c r="D1" s="113"/>
      <c r="E1" s="113"/>
      <c r="F1" s="113"/>
      <c r="G1" s="113"/>
    </row>
    <row r="2" spans="1:11" ht="28.15" customHeight="1">
      <c r="A2" s="114"/>
      <c r="B2" s="114"/>
      <c r="C2" s="114"/>
      <c r="D2" s="114"/>
      <c r="E2" s="114"/>
      <c r="F2" s="114"/>
      <c r="G2" s="114"/>
    </row>
    <row r="4" spans="1:11">
      <c r="A4" s="115" t="s">
        <v>1</v>
      </c>
      <c r="B4" s="115" t="s">
        <v>1</v>
      </c>
    </row>
    <row r="5" spans="1:11" ht="30" customHeight="1">
      <c r="A5" s="2" t="s">
        <v>2</v>
      </c>
      <c r="B5" s="3" t="s">
        <v>3</v>
      </c>
    </row>
    <row r="6" spans="1:11" ht="21" customHeight="1">
      <c r="A6" s="129" t="s">
        <v>4</v>
      </c>
      <c r="B6" s="132" t="s">
        <v>5</v>
      </c>
    </row>
    <row r="7" spans="1:11" ht="13.5" customHeight="1">
      <c r="A7" s="6" t="s">
        <v>6</v>
      </c>
      <c r="B7" s="133">
        <v>46227</v>
      </c>
    </row>
    <row r="8" spans="1:11" ht="13.5" customHeight="1">
      <c r="A8" s="130" t="s">
        <v>7</v>
      </c>
      <c r="B8" s="134">
        <f>Inputs!$B$11</f>
        <v>45291</v>
      </c>
    </row>
    <row r="9" spans="1:11">
      <c r="A9" s="6" t="s">
        <v>8</v>
      </c>
      <c r="B9" s="133">
        <v>46022</v>
      </c>
    </row>
    <row r="10" spans="1:11">
      <c r="A10" s="131" t="s">
        <v>9</v>
      </c>
      <c r="B10" s="135" t="s">
        <v>10</v>
      </c>
    </row>
    <row r="13" spans="1:11">
      <c r="A13" s="115" t="s">
        <v>11</v>
      </c>
      <c r="B13" s="115"/>
      <c r="C13" s="115"/>
      <c r="D13" s="115"/>
      <c r="E13" s="115"/>
      <c r="F13" s="145"/>
      <c r="G13" s="115" t="s">
        <v>12</v>
      </c>
      <c r="H13" s="115"/>
      <c r="I13" s="115"/>
      <c r="J13" s="115"/>
      <c r="K13" s="115"/>
    </row>
    <row r="14" spans="1:11" ht="30" customHeight="1">
      <c r="A14" s="2" t="s">
        <v>13</v>
      </c>
      <c r="B14" s="3" t="s">
        <v>14</v>
      </c>
      <c r="C14" s="3" t="s">
        <v>15</v>
      </c>
      <c r="D14" s="4" t="s">
        <v>16</v>
      </c>
      <c r="E14" s="122" t="s">
        <v>17</v>
      </c>
      <c r="F14" s="118"/>
      <c r="G14" s="2" t="s">
        <v>18</v>
      </c>
      <c r="H14" s="3" t="s">
        <v>19</v>
      </c>
      <c r="I14" s="3" t="s">
        <v>20</v>
      </c>
      <c r="J14" s="3" t="s">
        <v>21</v>
      </c>
      <c r="K14" s="4" t="s">
        <v>22</v>
      </c>
    </row>
    <row r="15" spans="1:11" ht="13.9">
      <c r="A15" s="5" t="s">
        <v>23</v>
      </c>
      <c r="B15" s="5" t="s">
        <v>24</v>
      </c>
      <c r="C15" s="5" t="s">
        <v>25</v>
      </c>
      <c r="D15" s="5" t="s">
        <v>26</v>
      </c>
      <c r="E15" s="123" t="s">
        <v>27</v>
      </c>
      <c r="F15" s="118"/>
      <c r="G15" s="5" t="s">
        <v>28</v>
      </c>
      <c r="H15" s="108" t="s">
        <v>29</v>
      </c>
      <c r="I15" s="5" t="s">
        <v>30</v>
      </c>
      <c r="J15" s="5" t="s">
        <v>31</v>
      </c>
      <c r="K15" s="5" t="s">
        <v>32</v>
      </c>
    </row>
    <row r="16" spans="1:11" ht="13.9">
      <c r="A16" s="6" t="s">
        <v>33</v>
      </c>
      <c r="B16" s="6" t="s">
        <v>34</v>
      </c>
      <c r="C16" s="6" t="s">
        <v>25</v>
      </c>
      <c r="D16" s="6" t="s">
        <v>35</v>
      </c>
      <c r="E16" s="123" t="s">
        <v>36</v>
      </c>
      <c r="F16" s="118"/>
      <c r="G16" s="6" t="s">
        <v>37</v>
      </c>
      <c r="H16" s="109" t="s">
        <v>38</v>
      </c>
      <c r="I16" s="6" t="s">
        <v>30</v>
      </c>
      <c r="J16" s="6" t="s">
        <v>39</v>
      </c>
      <c r="K16" s="6" t="s">
        <v>40</v>
      </c>
    </row>
    <row r="17" spans="1:11" ht="13.9">
      <c r="A17" s="6" t="s">
        <v>41</v>
      </c>
      <c r="B17" s="6" t="s">
        <v>42</v>
      </c>
      <c r="C17" s="6" t="s">
        <v>43</v>
      </c>
      <c r="D17" s="6" t="s">
        <v>44</v>
      </c>
      <c r="E17" s="123" t="s">
        <v>45</v>
      </c>
      <c r="F17" s="118"/>
      <c r="G17" s="6" t="s">
        <v>46</v>
      </c>
      <c r="H17" s="110" t="s">
        <v>47</v>
      </c>
      <c r="I17" s="6" t="s">
        <v>30</v>
      </c>
      <c r="J17" s="6" t="s">
        <v>48</v>
      </c>
      <c r="K17" s="6" t="s">
        <v>49</v>
      </c>
    </row>
    <row r="18" spans="1:11" ht="13.9">
      <c r="A18" s="6" t="s">
        <v>50</v>
      </c>
      <c r="B18" s="6" t="s">
        <v>51</v>
      </c>
      <c r="C18" s="6" t="s">
        <v>43</v>
      </c>
      <c r="D18" s="6" t="s">
        <v>52</v>
      </c>
      <c r="E18" s="123" t="s">
        <v>53</v>
      </c>
      <c r="F18" s="118"/>
      <c r="G18" s="7" t="s">
        <v>54</v>
      </c>
      <c r="H18" s="111" t="s">
        <v>55</v>
      </c>
      <c r="I18" s="112" t="s">
        <v>56</v>
      </c>
      <c r="J18" s="7" t="s">
        <v>57</v>
      </c>
      <c r="K18" s="7" t="s">
        <v>58</v>
      </c>
    </row>
    <row r="19" spans="1:11" ht="13.9">
      <c r="A19" s="6" t="s">
        <v>59</v>
      </c>
      <c r="B19" s="6" t="s">
        <v>60</v>
      </c>
      <c r="C19" s="6" t="s">
        <v>61</v>
      </c>
      <c r="D19" s="6" t="s">
        <v>62</v>
      </c>
      <c r="E19" s="123" t="s">
        <v>63</v>
      </c>
      <c r="F19" s="118"/>
    </row>
    <row r="20" spans="1:11" ht="13.9">
      <c r="A20" s="6" t="s">
        <v>64</v>
      </c>
      <c r="B20" s="6" t="s">
        <v>65</v>
      </c>
      <c r="C20" s="6" t="s">
        <v>61</v>
      </c>
      <c r="D20" s="6" t="s">
        <v>66</v>
      </c>
      <c r="E20" s="123" t="s">
        <v>67</v>
      </c>
      <c r="F20" s="118"/>
    </row>
    <row r="21" spans="1:11" ht="13.9">
      <c r="A21" s="6" t="s">
        <v>68</v>
      </c>
      <c r="B21" s="6" t="s">
        <v>69</v>
      </c>
      <c r="C21" s="6" t="s">
        <v>61</v>
      </c>
      <c r="D21" s="6" t="s">
        <v>70</v>
      </c>
      <c r="E21" s="123" t="s">
        <v>71</v>
      </c>
      <c r="F21" s="118"/>
      <c r="G21" s="115" t="s">
        <v>72</v>
      </c>
      <c r="H21" s="115"/>
      <c r="I21" s="115"/>
      <c r="J21" s="115"/>
      <c r="K21" s="115"/>
    </row>
    <row r="22" spans="1:11" ht="13.9" customHeight="1">
      <c r="A22" s="6" t="s">
        <v>73</v>
      </c>
      <c r="B22" s="6" t="s">
        <v>74</v>
      </c>
      <c r="C22" s="6" t="s">
        <v>75</v>
      </c>
      <c r="D22" s="6" t="s">
        <v>76</v>
      </c>
      <c r="E22" s="123" t="s">
        <v>77</v>
      </c>
      <c r="G22" s="136" t="s">
        <v>78</v>
      </c>
      <c r="H22" s="137"/>
      <c r="I22" s="137"/>
      <c r="J22" s="137"/>
      <c r="K22" s="138"/>
    </row>
    <row r="23" spans="1:11" ht="13.9" customHeight="1">
      <c r="A23" s="6" t="s">
        <v>79</v>
      </c>
      <c r="B23" s="6" t="s">
        <v>80</v>
      </c>
      <c r="C23" s="6" t="s">
        <v>81</v>
      </c>
      <c r="D23" s="6" t="s">
        <v>82</v>
      </c>
      <c r="E23" s="123" t="s">
        <v>83</v>
      </c>
      <c r="G23" s="139" t="s">
        <v>84</v>
      </c>
      <c r="H23" s="140"/>
      <c r="I23" s="140"/>
      <c r="J23" s="140"/>
      <c r="K23" s="141"/>
    </row>
    <row r="24" spans="1:11" ht="13.9" customHeight="1">
      <c r="A24" s="6" t="s">
        <v>85</v>
      </c>
      <c r="B24" s="6" t="s">
        <v>86</v>
      </c>
      <c r="C24" s="6" t="s">
        <v>87</v>
      </c>
      <c r="D24" s="6" t="s">
        <v>88</v>
      </c>
      <c r="E24" s="123" t="s">
        <v>89</v>
      </c>
      <c r="G24" s="139" t="s">
        <v>90</v>
      </c>
      <c r="H24" s="140"/>
      <c r="I24" s="140"/>
      <c r="J24" s="140"/>
      <c r="K24" s="141"/>
    </row>
    <row r="25" spans="1:11" ht="13.9" customHeight="1">
      <c r="A25" s="6" t="s">
        <v>91</v>
      </c>
      <c r="B25" s="6" t="s">
        <v>92</v>
      </c>
      <c r="C25" s="6" t="s">
        <v>87</v>
      </c>
      <c r="D25" s="6" t="s">
        <v>88</v>
      </c>
      <c r="E25" s="123" t="s">
        <v>93</v>
      </c>
      <c r="G25" s="139" t="s">
        <v>94</v>
      </c>
      <c r="H25" s="140"/>
      <c r="I25" s="140"/>
      <c r="J25" s="140"/>
      <c r="K25" s="141"/>
    </row>
    <row r="26" spans="1:11" ht="13.9" customHeight="1">
      <c r="G26" s="139" t="s">
        <v>95</v>
      </c>
      <c r="H26" s="140"/>
      <c r="I26" s="140"/>
      <c r="J26" s="140"/>
      <c r="K26" s="141"/>
    </row>
    <row r="27" spans="1:11" ht="13.9" customHeight="1">
      <c r="G27" s="142" t="s">
        <v>96</v>
      </c>
      <c r="H27" s="143"/>
      <c r="I27" s="143"/>
      <c r="J27" s="143"/>
      <c r="K27" s="144"/>
    </row>
  </sheetData>
  <hyperlinks>
    <hyperlink ref="E15" location="'Dashboard'!A1" tooltip="Open Dashboard" display="Open Dashboard" xr:uid="{9DB0323C-649F-4DFC-AAFB-DD8177C9E09E}"/>
    <hyperlink ref="E16" location="'Unit P&amp;L'!A1" tooltip="Open Unit P&amp;L" display="Open Unit P&amp;L" xr:uid="{3C8041AD-65F2-4FC3-B0B5-4D362FAE096F}"/>
    <hyperlink ref="E17" location="'Cash Flow'!A1" tooltip="Open Cash Flow" display="Open Cash Flow" xr:uid="{7E4339B3-594E-4C95-8B13-C94199097B98}"/>
    <hyperlink ref="E18" location="'Allocation'!A1" tooltip="Open Allocation" display="Open Allocation" xr:uid="{51842630-A6BF-4C81-AE3F-A64058A1D652}"/>
    <hyperlink ref="E19" location="'Villas'!A1" tooltip="Open Villas" display="Open Villas" xr:uid="{8F3C920E-B244-4FCA-BA3A-8F3880EEA651}"/>
    <hyperlink ref="E20" location="'Sales Plan'!A1" tooltip="Open Sales Plan" display="Open Sales Plan" xr:uid="{6C1A671D-94F4-456B-B37B-F22D97701537}"/>
    <hyperlink ref="E21" location="'Budget'!A1" tooltip="Open Budget" display="Open Budget" xr:uid="{746C75DD-F7E5-4208-8855-CE08D34D2878}"/>
    <hyperlink ref="E22" location="'Inputs'!A1" tooltip="Open Inputs" display="Open Inputs" xr:uid="{A4896015-B105-4555-B889-9B21EEC22FEC}"/>
    <hyperlink ref="E23" location="'Vendors'!A1" tooltip="Open Vendors" display="Open Vendors" xr:uid="{D5189733-2FBE-4F15-9CCF-C86B4F3CBA06}"/>
    <hyperlink ref="E24" location="'Outflows'!A1" tooltip="Open Outflows" display="Open Outflows" xr:uid="{620B4C9E-1AAB-4DF9-A813-DF759A92E195}"/>
    <hyperlink ref="E25" location="'Inflows'!A1" tooltip="Open Inflows" display="Open Inflows" xr:uid="{5CDDD789-C2FC-41CB-A7D7-67AC1A7824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"/>
  <dimension ref="A1:N90"/>
  <sheetViews>
    <sheetView showGridLines="0" tabSelected="1" workbookViewId="0">
      <selection activeCell="E30" sqref="E30"/>
    </sheetView>
  </sheetViews>
  <sheetFormatPr defaultRowHeight="13.5"/>
  <cols>
    <col min="1" max="1" width="27" customWidth="1"/>
    <col min="2" max="3" width="18" customWidth="1"/>
    <col min="4" max="4" width="14" customWidth="1"/>
    <col min="5" max="14" width="12" customWidth="1"/>
  </cols>
  <sheetData>
    <row r="1" spans="1:14" ht="30" customHeight="1">
      <c r="A1" s="146" t="s">
        <v>97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62"/>
    </row>
    <row r="2" spans="1:14" ht="28.15" customHeight="1">
      <c r="A2" s="150" t="s">
        <v>98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14" ht="13.9">
      <c r="N3" s="123" t="s">
        <v>99</v>
      </c>
    </row>
    <row r="4" spans="1:14">
      <c r="A4" s="163" t="s">
        <v>99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</row>
    <row r="5" spans="1:14">
      <c r="A5" s="152" t="s">
        <v>100</v>
      </c>
      <c r="B5" s="152" t="s">
        <v>100</v>
      </c>
      <c r="C5" s="152" t="s">
        <v>100</v>
      </c>
      <c r="D5" s="107"/>
      <c r="E5" s="152" t="s">
        <v>101</v>
      </c>
      <c r="F5" s="152" t="s">
        <v>101</v>
      </c>
      <c r="G5" s="152" t="s">
        <v>101</v>
      </c>
      <c r="H5" s="107"/>
      <c r="I5" s="152" t="s">
        <v>102</v>
      </c>
      <c r="J5" s="152" t="s">
        <v>102</v>
      </c>
      <c r="K5" s="152" t="s">
        <v>102</v>
      </c>
      <c r="L5" s="107"/>
      <c r="M5" s="152" t="s">
        <v>103</v>
      </c>
      <c r="N5" s="152" t="s">
        <v>103</v>
      </c>
    </row>
    <row r="6" spans="1:14">
      <c r="A6" s="153">
        <f>'Unit P&amp;L'!M8</f>
        <v>12067713.053679582</v>
      </c>
      <c r="B6" s="154"/>
      <c r="C6" s="155"/>
      <c r="D6" s="107"/>
      <c r="E6" s="153">
        <f>'Unit P&amp;L'!M17</f>
        <v>10250864.574367575</v>
      </c>
      <c r="F6" s="154"/>
      <c r="G6" s="155"/>
      <c r="H6" s="107"/>
      <c r="I6" s="153">
        <f>'Unit P&amp;L'!M19</f>
        <v>1816848.4793120059</v>
      </c>
      <c r="J6" s="154"/>
      <c r="K6" s="155"/>
      <c r="L6" s="107"/>
      <c r="M6" s="165">
        <f>'Unit P&amp;L'!M20</f>
        <v>0.15055449787630046</v>
      </c>
      <c r="N6" s="166"/>
    </row>
    <row r="7" spans="1:14">
      <c r="A7" s="156"/>
      <c r="B7" s="157"/>
      <c r="C7" s="158"/>
      <c r="D7" s="107"/>
      <c r="E7" s="156"/>
      <c r="F7" s="157"/>
      <c r="G7" s="158"/>
      <c r="H7" s="107"/>
      <c r="I7" s="156"/>
      <c r="J7" s="157"/>
      <c r="K7" s="158"/>
      <c r="L7" s="107"/>
      <c r="M7" s="167"/>
      <c r="N7" s="168"/>
    </row>
    <row r="8" spans="1:14">
      <c r="A8" s="159"/>
      <c r="B8" s="160"/>
      <c r="C8" s="161"/>
      <c r="D8" s="107"/>
      <c r="E8" s="159"/>
      <c r="F8" s="160"/>
      <c r="G8" s="161"/>
      <c r="H8" s="107"/>
      <c r="I8" s="159"/>
      <c r="J8" s="160"/>
      <c r="K8" s="161"/>
      <c r="L8" s="107"/>
      <c r="M8" s="169"/>
      <c r="N8" s="170"/>
    </row>
    <row r="9" spans="1:14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</row>
    <row r="10" spans="1:14">
      <c r="A10" s="152" t="s">
        <v>104</v>
      </c>
      <c r="B10" s="152" t="s">
        <v>104</v>
      </c>
      <c r="C10" s="152" t="s">
        <v>104</v>
      </c>
      <c r="D10" s="107"/>
      <c r="E10" s="152" t="s">
        <v>105</v>
      </c>
      <c r="F10" s="152" t="s">
        <v>105</v>
      </c>
      <c r="G10" s="152" t="s">
        <v>105</v>
      </c>
      <c r="H10" s="107"/>
      <c r="I10" s="152" t="s">
        <v>106</v>
      </c>
      <c r="J10" s="152" t="s">
        <v>106</v>
      </c>
      <c r="K10" s="152" t="s">
        <v>106</v>
      </c>
      <c r="L10" s="107"/>
    </row>
    <row r="11" spans="1:14">
      <c r="A11" s="153">
        <f>MAX('Cash Flow'!G55:BA55)</f>
        <v>499616.29903593025</v>
      </c>
      <c r="B11" s="154"/>
      <c r="C11" s="155"/>
      <c r="E11" s="153">
        <f>'Unit P&amp;L'!M25</f>
        <v>832531.8</v>
      </c>
      <c r="F11" s="154"/>
      <c r="G11" s="155"/>
      <c r="I11" s="153">
        <f>Budget!H40</f>
        <v>788238.54985582863</v>
      </c>
      <c r="J11" s="154"/>
      <c r="K11" s="155"/>
    </row>
    <row r="12" spans="1:14">
      <c r="A12" s="156"/>
      <c r="B12" s="157"/>
      <c r="C12" s="158"/>
      <c r="E12" s="156"/>
      <c r="F12" s="157"/>
      <c r="G12" s="158"/>
      <c r="I12" s="156"/>
      <c r="J12" s="157"/>
      <c r="K12" s="158"/>
    </row>
    <row r="13" spans="1:14">
      <c r="A13" s="159"/>
      <c r="B13" s="160"/>
      <c r="C13" s="161"/>
      <c r="E13" s="159"/>
      <c r="F13" s="160"/>
      <c r="G13" s="161"/>
      <c r="I13" s="159"/>
      <c r="J13" s="160"/>
      <c r="K13" s="161"/>
    </row>
    <row r="16" spans="1:14">
      <c r="A16" s="163" t="s">
        <v>107</v>
      </c>
      <c r="B16" s="163" t="s">
        <v>107</v>
      </c>
      <c r="C16" s="163" t="s">
        <v>107</v>
      </c>
      <c r="D16" s="163" t="s">
        <v>107</v>
      </c>
    </row>
    <row r="17" spans="1:4" ht="30" customHeight="1">
      <c r="A17" s="2" t="s">
        <v>108</v>
      </c>
      <c r="B17" s="3" t="s">
        <v>109</v>
      </c>
      <c r="C17" s="3" t="s">
        <v>110</v>
      </c>
      <c r="D17" s="4" t="s">
        <v>111</v>
      </c>
    </row>
    <row r="18" spans="1:4">
      <c r="A18" s="23" t="str">
        <f>'Unit P&amp;L'!D$5</f>
        <v>Horizon Ridge Top</v>
      </c>
      <c r="B18" s="33">
        <f>'Unit P&amp;L'!D$8</f>
        <v>3100000</v>
      </c>
      <c r="C18" s="33">
        <f>'Unit P&amp;L'!D$17</f>
        <v>3010574.4120344063</v>
      </c>
      <c r="D18" s="72">
        <f>'Unit P&amp;L'!D$20</f>
        <v>2.8846963859868926E-2</v>
      </c>
    </row>
    <row r="19" spans="1:4">
      <c r="A19" s="24" t="str">
        <f>'Unit P&amp;L'!E$5</f>
        <v>Horizon Ridge 3BDR</v>
      </c>
      <c r="B19" s="35">
        <f>'Unit P&amp;L'!E$8</f>
        <v>2970502.0536795808</v>
      </c>
      <c r="C19" s="35">
        <f>'Unit P&amp;L'!E$17</f>
        <v>1925561.8736518871</v>
      </c>
      <c r="D19" s="73">
        <f>'Unit P&amp;L'!E$20</f>
        <v>0.35177224628857579</v>
      </c>
    </row>
    <row r="20" spans="1:4">
      <c r="A20" s="24" t="str">
        <f>'Unit P&amp;L'!F$5</f>
        <v>4BDR Canopy House</v>
      </c>
      <c r="B20" s="35">
        <f>'Unit P&amp;L'!F$8</f>
        <v>2650000</v>
      </c>
      <c r="C20" s="35">
        <f>'Unit P&amp;L'!F$17</f>
        <v>2558116.9426299552</v>
      </c>
      <c r="D20" s="73">
        <f>'Unit P&amp;L'!F$20</f>
        <v>3.467285183775274E-2</v>
      </c>
    </row>
    <row r="21" spans="1:4">
      <c r="A21" s="24" t="str">
        <f>'Unit P&amp;L'!G$5</f>
        <v>Meadow 1</v>
      </c>
      <c r="B21" s="35">
        <f>'Unit P&amp;L'!G$8</f>
        <v>1350000</v>
      </c>
      <c r="C21" s="35">
        <f>'Unit P&amp;L'!G$17</f>
        <v>1072716.0866966702</v>
      </c>
      <c r="D21" s="73">
        <f>'Unit P&amp;L'!G$20</f>
        <v>0.20539549133579987</v>
      </c>
    </row>
    <row r="22" spans="1:4">
      <c r="A22" s="24" t="str">
        <f>'Unit P&amp;L'!H$5</f>
        <v>Meadow 2</v>
      </c>
      <c r="B22" s="35">
        <f>'Unit P&amp;L'!H$8</f>
        <v>0</v>
      </c>
      <c r="C22" s="35">
        <f>'Unit P&amp;L'!H$17</f>
        <v>40919.294999699792</v>
      </c>
      <c r="D22" s="73">
        <f>'Unit P&amp;L'!H$20</f>
        <v>0</v>
      </c>
    </row>
    <row r="23" spans="1:4">
      <c r="A23" s="24" t="str">
        <f>'Unit P&amp;L'!I$5</f>
        <v>Palm Valley/E1</v>
      </c>
      <c r="B23" s="35">
        <f>'Unit P&amp;L'!I$8</f>
        <v>0</v>
      </c>
      <c r="C23" s="35">
        <f>'Unit P&amp;L'!I$17</f>
        <v>109021.55107697971</v>
      </c>
      <c r="D23" s="73">
        <f>'Unit P&amp;L'!I$20</f>
        <v>0</v>
      </c>
    </row>
    <row r="24" spans="1:4">
      <c r="A24" s="24" t="str">
        <f>'Unit P&amp;L'!J$5</f>
        <v>Palm Valley/E2</v>
      </c>
      <c r="B24" s="35">
        <f>'Unit P&amp;L'!J$8</f>
        <v>0</v>
      </c>
      <c r="C24" s="35">
        <f>'Unit P&amp;L'!J$17</f>
        <v>154728.29131731359</v>
      </c>
      <c r="D24" s="73">
        <f>'Unit P&amp;L'!J$20</f>
        <v>0</v>
      </c>
    </row>
    <row r="25" spans="1:4">
      <c r="A25" s="24" t="str">
        <f>'Unit P&amp;L'!K$5</f>
        <v>Palm Valley/E3</v>
      </c>
      <c r="B25" s="35">
        <f>'Unit P&amp;L'!K$8</f>
        <v>0</v>
      </c>
      <c r="C25" s="35">
        <f>'Unit P&amp;L'!K$17</f>
        <v>206727.99042248784</v>
      </c>
      <c r="D25" s="73">
        <f>'Unit P&amp;L'!K$20</f>
        <v>0</v>
      </c>
    </row>
    <row r="26" spans="1:4">
      <c r="A26" s="25" t="str">
        <f>'Unit P&amp;L'!L$5</f>
        <v>Kiri 3</v>
      </c>
      <c r="B26" s="36">
        <f>'Unit P&amp;L'!L$8</f>
        <v>1997211</v>
      </c>
      <c r="C26" s="36">
        <f>'Unit P&amp;L'!L$17</f>
        <v>1172498.1315381753</v>
      </c>
      <c r="D26" s="74">
        <f>'Unit P&amp;L'!L$20</f>
        <v>0.41293226827902746</v>
      </c>
    </row>
    <row r="30" spans="1:4">
      <c r="A30" s="163" t="s">
        <v>112</v>
      </c>
      <c r="B30" s="163" t="s">
        <v>112</v>
      </c>
      <c r="C30" s="163" t="s">
        <v>112</v>
      </c>
      <c r="D30" s="163" t="s">
        <v>112</v>
      </c>
    </row>
    <row r="31" spans="1:4" ht="30" customHeight="1">
      <c r="A31" s="2" t="s">
        <v>113</v>
      </c>
      <c r="B31" s="3" t="s">
        <v>114</v>
      </c>
      <c r="C31" s="3" t="s">
        <v>115</v>
      </c>
      <c r="D31" s="4" t="s">
        <v>116</v>
      </c>
    </row>
    <row r="32" spans="1:4">
      <c r="A32" s="5" t="s">
        <v>117</v>
      </c>
      <c r="B32" s="33">
        <f>SUMIFS(Budget!$G$7:$G$38,Budget!$B$7:$B$38,A32,Budget!$D$7:$D$38,"Yes")</f>
        <v>6661090.9033149993</v>
      </c>
      <c r="C32" s="33">
        <f>SUMIFS(Budget!$H$7:$H$38,Budget!$B$7:$B$38,A32,Budget!$D$7:$D$38,"Yes")</f>
        <v>0</v>
      </c>
      <c r="D32" s="33">
        <f>SUMIFS(Budget!$J$7:$J$38,Budget!$B$7:$B$38,A32,Budget!$D$7:$D$38,"Yes")</f>
        <v>6661090.9033149993</v>
      </c>
    </row>
    <row r="33" spans="1:4">
      <c r="A33" s="6" t="s">
        <v>118</v>
      </c>
      <c r="B33" s="35">
        <f>SUMIFS(Budget!$G$7:$G$38,Budget!$B$7:$B$38,A33,Budget!$D$7:$D$38,"Yes")</f>
        <v>902126.203522</v>
      </c>
      <c r="C33" s="35">
        <f>SUMIFS(Budget!$H$7:$H$38,Budget!$B$7:$B$38,A33,Budget!$D$7:$D$38,"Yes")</f>
        <v>413418.17688225355</v>
      </c>
      <c r="D33" s="35">
        <f>SUMIFS(Budget!$J$7:$J$38,Budget!$B$7:$B$38,A33,Budget!$D$7:$D$38,"Yes")</f>
        <v>905309.26193067036</v>
      </c>
    </row>
    <row r="34" spans="1:4">
      <c r="A34" s="6" t="s">
        <v>119</v>
      </c>
      <c r="B34" s="35">
        <f>SUMIFS(Budget!$G$7:$G$38,Budget!$B$7:$B$38,A34,Budget!$D$7:$D$38,"Yes")</f>
        <v>1033698.653333</v>
      </c>
      <c r="C34" s="35">
        <f>SUMIFS(Budget!$H$7:$H$38,Budget!$B$7:$B$38,A34,Budget!$D$7:$D$38,"Yes")</f>
        <v>330235.59980313311</v>
      </c>
      <c r="D34" s="35">
        <f>SUMIFS(Budget!$J$7:$J$38,Budget!$B$7:$B$38,A34,Budget!$D$7:$D$38,"Yes")</f>
        <v>1033934.2531361331</v>
      </c>
    </row>
    <row r="35" spans="1:4">
      <c r="A35" s="6" t="s">
        <v>120</v>
      </c>
      <c r="B35" s="35">
        <f>SUMIFS(Budget!$G$7:$G$38,Budget!$B$7:$B$38,A35,Budget!$D$7:$D$38,"Yes")</f>
        <v>1192289.6073298</v>
      </c>
      <c r="C35" s="35">
        <f>SUMIFS(Budget!$H$7:$H$38,Budget!$B$7:$B$38,A35,Budget!$D$7:$D$38,"Yes")</f>
        <v>0</v>
      </c>
      <c r="D35" s="35">
        <f>SUMIFS(Budget!$J$7:$J$38,Budget!$B$7:$B$38,A35,Budget!$D$7:$D$38,"Yes")</f>
        <v>1192289.6073298</v>
      </c>
    </row>
    <row r="36" spans="1:4">
      <c r="A36" s="6" t="s">
        <v>121</v>
      </c>
      <c r="B36" s="35">
        <f>SUMIFS(Budget!$G$7:$G$38,Budget!$B$7:$B$38,A36,Budget!$D$7:$D$38,"Yes")</f>
        <v>177120</v>
      </c>
      <c r="C36" s="35">
        <f>SUMIFS(Budget!$H$7:$H$38,Budget!$B$7:$B$38,A36,Budget!$D$7:$D$38,"Yes")</f>
        <v>0</v>
      </c>
      <c r="D36" s="35">
        <f>SUMIFS(Budget!$J$7:$J$38,Budget!$B$7:$B$38,A36,Budget!$D$7:$D$38,"Yes")</f>
        <v>177120</v>
      </c>
    </row>
    <row r="37" spans="1:4">
      <c r="A37" s="6" t="s">
        <v>122</v>
      </c>
      <c r="B37" s="35">
        <f>SUMIFS(Budget!$G$7:$G$38,Budget!$B$7:$B$38,A37,Budget!$D$7:$D$38,"Yes")</f>
        <v>280442.82634198957</v>
      </c>
      <c r="C37" s="35">
        <f>SUMIFS(Budget!$H$7:$H$38,Budget!$B$7:$B$38,A37,Budget!$D$7:$D$38,"Yes")</f>
        <v>0</v>
      </c>
      <c r="D37" s="35">
        <f>SUMIFS(Budget!$J$7:$J$38,Budget!$B$7:$B$38,A37,Budget!$D$7:$D$38,"Yes")</f>
        <v>280442.82634198957</v>
      </c>
    </row>
    <row r="38" spans="1:4">
      <c r="A38" s="7" t="s">
        <v>123</v>
      </c>
      <c r="B38" s="36">
        <f>SUMIFS(Budget!$G$7:$G$38,Budget!$B$7:$B$38,A38,Budget!$D$7:$D$38,"Yes")</f>
        <v>0</v>
      </c>
      <c r="C38" s="36">
        <f>SUMIFS(Budget!$H$7:$H$38,Budget!$B$7:$B$38,A38,Budget!$D$7:$D$38,"Yes")</f>
        <v>677.72231398213046</v>
      </c>
      <c r="D38" s="36">
        <f>SUMIFS(Budget!$J$7:$J$38,Budget!$B$7:$B$38,A38,Budget!$D$7:$D$38,"Yes")</f>
        <v>677.72231398213046</v>
      </c>
    </row>
    <row r="42" spans="1:4">
      <c r="A42" s="163" t="s">
        <v>124</v>
      </c>
      <c r="B42" s="163" t="s">
        <v>124</v>
      </c>
      <c r="C42" s="163" t="s">
        <v>124</v>
      </c>
    </row>
    <row r="43" spans="1:4" ht="30" customHeight="1">
      <c r="A43" s="2" t="s">
        <v>125</v>
      </c>
      <c r="B43" s="3" t="s">
        <v>126</v>
      </c>
      <c r="C43" s="4" t="s">
        <v>127</v>
      </c>
    </row>
    <row r="44" spans="1:4">
      <c r="A44" s="60">
        <f>'Cash Flow'!G$6</f>
        <v>44593</v>
      </c>
      <c r="B44" s="33">
        <f>'Cash Flow'!G$54</f>
        <v>-7489.040428641013</v>
      </c>
      <c r="C44" s="23" t="str">
        <f>'Cash Flow'!G$5</f>
        <v>Actual</v>
      </c>
    </row>
    <row r="45" spans="1:4">
      <c r="A45" s="61">
        <f>'Cash Flow'!H$6</f>
        <v>44621</v>
      </c>
      <c r="B45" s="35">
        <f>'Cash Flow'!H$54</f>
        <v>-7489.040428641013</v>
      </c>
      <c r="C45" s="24" t="str">
        <f>'Cash Flow'!H$5</f>
        <v>Actual</v>
      </c>
    </row>
    <row r="46" spans="1:4">
      <c r="A46" s="61">
        <f>'Cash Flow'!I$6</f>
        <v>44652</v>
      </c>
      <c r="B46" s="35">
        <f>'Cash Flow'!I$54</f>
        <v>-9985.9193300142961</v>
      </c>
      <c r="C46" s="24" t="str">
        <f>'Cash Flow'!I$5</f>
        <v>Actual</v>
      </c>
    </row>
    <row r="47" spans="1:4">
      <c r="A47" s="61">
        <f>'Cash Flow'!J$6</f>
        <v>44682</v>
      </c>
      <c r="B47" s="35">
        <f>'Cash Flow'!J$54</f>
        <v>-17540.581046185915</v>
      </c>
      <c r="C47" s="24" t="str">
        <f>'Cash Flow'!J$5</f>
        <v>Actual</v>
      </c>
    </row>
    <row r="48" spans="1:4">
      <c r="A48" s="61">
        <f>'Cash Flow'!K$6</f>
        <v>44713</v>
      </c>
      <c r="B48" s="35">
        <f>'Cash Flow'!K$54</f>
        <v>-49135.03821213419</v>
      </c>
      <c r="C48" s="24" t="str">
        <f>'Cash Flow'!K$5</f>
        <v>Actual</v>
      </c>
    </row>
    <row r="49" spans="1:3">
      <c r="A49" s="61">
        <f>'Cash Flow'!L$6</f>
        <v>44743</v>
      </c>
      <c r="B49" s="35">
        <f>'Cash Flow'!L$54</f>
        <v>-49139.985397586788</v>
      </c>
      <c r="C49" s="24" t="str">
        <f>'Cash Flow'!L$5</f>
        <v>Actual</v>
      </c>
    </row>
    <row r="50" spans="1:3">
      <c r="A50" s="61">
        <f>'Cash Flow'!M$6</f>
        <v>44774</v>
      </c>
      <c r="B50" s="35">
        <f>'Cash Flow'!M$54</f>
        <v>-49139.985397586788</v>
      </c>
      <c r="C50" s="24" t="str">
        <f>'Cash Flow'!M$5</f>
        <v>Actual</v>
      </c>
    </row>
    <row r="51" spans="1:3">
      <c r="A51" s="61">
        <f>'Cash Flow'!N$6</f>
        <v>44805</v>
      </c>
      <c r="B51" s="35">
        <f>'Cash Flow'!N$54</f>
        <v>-50704.489890273871</v>
      </c>
      <c r="C51" s="24" t="str">
        <f>'Cash Flow'!N$5</f>
        <v>Actual</v>
      </c>
    </row>
    <row r="52" spans="1:3">
      <c r="A52" s="61">
        <f>'Cash Flow'!O$6</f>
        <v>44835</v>
      </c>
      <c r="B52" s="35">
        <f>'Cash Flow'!O$54</f>
        <v>-57163.661811519531</v>
      </c>
      <c r="C52" s="24" t="str">
        <f>'Cash Flow'!O$5</f>
        <v>Actual</v>
      </c>
    </row>
    <row r="53" spans="1:3">
      <c r="A53" s="61">
        <f>'Cash Flow'!P$6</f>
        <v>44866</v>
      </c>
      <c r="B53" s="35">
        <f>'Cash Flow'!P$54</f>
        <v>-73145.97737325303</v>
      </c>
      <c r="C53" s="24" t="str">
        <f>'Cash Flow'!P$5</f>
        <v>Actual</v>
      </c>
    </row>
    <row r="54" spans="1:3">
      <c r="A54" s="61">
        <f>'Cash Flow'!Q$6</f>
        <v>44896</v>
      </c>
      <c r="B54" s="35">
        <f>'Cash Flow'!Q$54</f>
        <v>132934.11317089549</v>
      </c>
      <c r="C54" s="24" t="str">
        <f>'Cash Flow'!Q$5</f>
        <v>Actual</v>
      </c>
    </row>
    <row r="55" spans="1:3">
      <c r="A55" s="61">
        <f>'Cash Flow'!R$6</f>
        <v>44927</v>
      </c>
      <c r="B55" s="35">
        <f>'Cash Flow'!R$54</f>
        <v>68998.805828616314</v>
      </c>
      <c r="C55" s="24" t="str">
        <f>'Cash Flow'!R$5</f>
        <v>Actual</v>
      </c>
    </row>
    <row r="56" spans="1:3">
      <c r="A56" s="61">
        <f>'Cash Flow'!S$6</f>
        <v>44958</v>
      </c>
      <c r="B56" s="35">
        <f>'Cash Flow'!S$54</f>
        <v>246581.36007111991</v>
      </c>
      <c r="C56" s="24" t="str">
        <f>'Cash Flow'!S$5</f>
        <v>Actual</v>
      </c>
    </row>
    <row r="57" spans="1:3">
      <c r="A57" s="61">
        <f>'Cash Flow'!T$6</f>
        <v>44986</v>
      </c>
      <c r="B57" s="35">
        <f>'Cash Flow'!T$54</f>
        <v>106138.29519282735</v>
      </c>
      <c r="C57" s="24" t="str">
        <f>'Cash Flow'!T$5</f>
        <v>Actual</v>
      </c>
    </row>
    <row r="58" spans="1:3">
      <c r="A58" s="61">
        <f>'Cash Flow'!U$6</f>
        <v>45017</v>
      </c>
      <c r="B58" s="35">
        <f>'Cash Flow'!U$54</f>
        <v>72649.498526160693</v>
      </c>
      <c r="C58" s="24" t="str">
        <f>'Cash Flow'!U$5</f>
        <v>Actual</v>
      </c>
    </row>
    <row r="59" spans="1:3">
      <c r="A59" s="61">
        <f>'Cash Flow'!V$6</f>
        <v>45047</v>
      </c>
      <c r="B59" s="35">
        <f>'Cash Flow'!V$54</f>
        <v>34325.386859494029</v>
      </c>
      <c r="C59" s="24" t="str">
        <f>'Cash Flow'!V$5</f>
        <v>Actual</v>
      </c>
    </row>
    <row r="60" spans="1:3">
      <c r="A60" s="61">
        <f>'Cash Flow'!W$6</f>
        <v>45078</v>
      </c>
      <c r="B60" s="35">
        <f>'Cash Flow'!W$54</f>
        <v>-70374.452499839303</v>
      </c>
      <c r="C60" s="24" t="str">
        <f>'Cash Flow'!W$5</f>
        <v>Actual</v>
      </c>
    </row>
    <row r="61" spans="1:3">
      <c r="A61" s="61">
        <f>'Cash Flow'!X$6</f>
        <v>45108</v>
      </c>
      <c r="B61" s="35">
        <f>'Cash Flow'!X$54</f>
        <v>-169984.43242517265</v>
      </c>
      <c r="C61" s="24" t="str">
        <f>'Cash Flow'!X$5</f>
        <v>Actual</v>
      </c>
    </row>
    <row r="62" spans="1:3">
      <c r="A62" s="61">
        <f>'Cash Flow'!Y$6</f>
        <v>45139</v>
      </c>
      <c r="B62" s="35">
        <f>'Cash Flow'!Y$54</f>
        <v>-219993.16755250597</v>
      </c>
      <c r="C62" s="24" t="str">
        <f>'Cash Flow'!Y$5</f>
        <v>Actual</v>
      </c>
    </row>
    <row r="63" spans="1:3">
      <c r="A63" s="61">
        <f>'Cash Flow'!Z$6</f>
        <v>45170</v>
      </c>
      <c r="B63" s="35">
        <f>'Cash Flow'!Z$54</f>
        <v>-251022.8210858393</v>
      </c>
      <c r="C63" s="24" t="str">
        <f>'Cash Flow'!Z$5</f>
        <v>Actual</v>
      </c>
    </row>
    <row r="64" spans="1:3">
      <c r="A64" s="61">
        <f>'Cash Flow'!AA$6</f>
        <v>45200</v>
      </c>
      <c r="B64" s="35">
        <f>'Cash Flow'!AA$54</f>
        <v>-286735.78042383929</v>
      </c>
      <c r="C64" s="24" t="str">
        <f>'Cash Flow'!AA$5</f>
        <v>Actual</v>
      </c>
    </row>
    <row r="65" spans="1:3">
      <c r="A65" s="61">
        <f>'Cash Flow'!AB$6</f>
        <v>45231</v>
      </c>
      <c r="B65" s="35">
        <f>'Cash Flow'!AB$54</f>
        <v>72174.542542160721</v>
      </c>
      <c r="C65" s="24" t="str">
        <f>'Cash Flow'!AB$5</f>
        <v>Actual</v>
      </c>
    </row>
    <row r="66" spans="1:3">
      <c r="A66" s="61">
        <f>'Cash Flow'!AC$6</f>
        <v>45261</v>
      </c>
      <c r="B66" s="35">
        <f>'Cash Flow'!AC$54</f>
        <v>44674.542542160721</v>
      </c>
      <c r="C66" s="24" t="str">
        <f>'Cash Flow'!AC$5</f>
        <v>Actual</v>
      </c>
    </row>
    <row r="67" spans="1:3">
      <c r="A67" s="61">
        <f>'Cash Flow'!AD$6</f>
        <v>45292</v>
      </c>
      <c r="B67" s="35">
        <f>'Cash Flow'!AD$54</f>
        <v>2991211.7365577808</v>
      </c>
      <c r="C67" s="24" t="str">
        <f>'Cash Flow'!AD$5</f>
        <v>Forecast</v>
      </c>
    </row>
    <row r="68" spans="1:3">
      <c r="A68" s="61">
        <f>'Cash Flow'!AE$6</f>
        <v>45323</v>
      </c>
      <c r="B68" s="35">
        <f>'Cash Flow'!AE$54</f>
        <v>2457192.3224480776</v>
      </c>
      <c r="C68" s="24" t="str">
        <f>'Cash Flow'!AE$5</f>
        <v>Forecast</v>
      </c>
    </row>
    <row r="69" spans="1:3">
      <c r="A69" s="61">
        <f>'Cash Flow'!AF$6</f>
        <v>45352</v>
      </c>
      <c r="B69" s="35">
        <f>'Cash Flow'!AF$54</f>
        <v>1923172.9083383742</v>
      </c>
      <c r="C69" s="24" t="str">
        <f>'Cash Flow'!AF$5</f>
        <v>Forecast</v>
      </c>
    </row>
    <row r="70" spans="1:3">
      <c r="A70" s="61">
        <f>'Cash Flow'!AG$6</f>
        <v>45383</v>
      </c>
      <c r="B70" s="35">
        <f>'Cash Flow'!AG$54</f>
        <v>1389153.4942286708</v>
      </c>
      <c r="C70" s="24" t="str">
        <f>'Cash Flow'!AG$5</f>
        <v>Forecast</v>
      </c>
    </row>
    <row r="71" spans="1:3">
      <c r="A71" s="61">
        <f>'Cash Flow'!AH$6</f>
        <v>45413</v>
      </c>
      <c r="B71" s="35">
        <f>'Cash Flow'!AH$54</f>
        <v>855134.08011896745</v>
      </c>
      <c r="C71" s="24" t="str">
        <f>'Cash Flow'!AH$5</f>
        <v>Forecast</v>
      </c>
    </row>
    <row r="72" spans="1:3">
      <c r="A72" s="61">
        <f>'Cash Flow'!AI$6</f>
        <v>45444</v>
      </c>
      <c r="B72" s="35">
        <f>'Cash Flow'!AI$54</f>
        <v>321114.66600926407</v>
      </c>
      <c r="C72" s="24" t="str">
        <f>'Cash Flow'!AI$5</f>
        <v>Forecast</v>
      </c>
    </row>
    <row r="73" spans="1:3">
      <c r="A73" s="61">
        <f>'Cash Flow'!AJ$6</f>
        <v>45474</v>
      </c>
      <c r="B73" s="35">
        <f>'Cash Flow'!AJ$54</f>
        <v>1983503.1181280743</v>
      </c>
      <c r="C73" s="24" t="str">
        <f>'Cash Flow'!AJ$5</f>
        <v>Forecast</v>
      </c>
    </row>
    <row r="74" spans="1:3">
      <c r="A74" s="61">
        <f>'Cash Flow'!AK$6</f>
        <v>45505</v>
      </c>
      <c r="B74" s="35">
        <f>'Cash Flow'!AK$54</f>
        <v>1486879.2346952735</v>
      </c>
      <c r="C74" s="24" t="str">
        <f>'Cash Flow'!AK$5</f>
        <v>Forecast</v>
      </c>
    </row>
    <row r="75" spans="1:3">
      <c r="A75" s="61">
        <f>'Cash Flow'!AL$6</f>
        <v>45536</v>
      </c>
      <c r="B75" s="35">
        <f>'Cash Flow'!AL$54</f>
        <v>990255.35126247257</v>
      </c>
      <c r="C75" s="24" t="str">
        <f>'Cash Flow'!AL$5</f>
        <v>Forecast</v>
      </c>
    </row>
    <row r="76" spans="1:3">
      <c r="A76" s="61">
        <f>'Cash Flow'!AM$6</f>
        <v>45566</v>
      </c>
      <c r="B76" s="35">
        <f>'Cash Flow'!AM$54</f>
        <v>493631.46782967163</v>
      </c>
      <c r="C76" s="24" t="str">
        <f>'Cash Flow'!AM$5</f>
        <v>Forecast</v>
      </c>
    </row>
    <row r="77" spans="1:3">
      <c r="A77" s="61">
        <f>'Cash Flow'!AN$6</f>
        <v>45597</v>
      </c>
      <c r="B77" s="35">
        <f>'Cash Flow'!AN$54</f>
        <v>-2992.4156031293096</v>
      </c>
      <c r="C77" s="24" t="str">
        <f>'Cash Flow'!AN$5</f>
        <v>Forecast</v>
      </c>
    </row>
    <row r="78" spans="1:3">
      <c r="A78" s="61">
        <f>'Cash Flow'!AO$6</f>
        <v>45627</v>
      </c>
      <c r="B78" s="35">
        <f>'Cash Flow'!AO$54</f>
        <v>-499616.29903593025</v>
      </c>
      <c r="C78" s="24" t="str">
        <f>'Cash Flow'!AO$5</f>
        <v>Forecast</v>
      </c>
    </row>
    <row r="79" spans="1:3">
      <c r="A79" s="61">
        <f>'Cash Flow'!AP$6</f>
        <v>45658</v>
      </c>
      <c r="B79" s="35">
        <f>'Cash Flow'!AP$54</f>
        <v>2175730.392933392</v>
      </c>
      <c r="C79" s="24" t="str">
        <f>'Cash Flow'!AP$5</f>
        <v>Forecast</v>
      </c>
    </row>
    <row r="80" spans="1:3">
      <c r="A80" s="61">
        <f>'Cash Flow'!AQ$6</f>
        <v>45689</v>
      </c>
      <c r="B80" s="35">
        <f>'Cash Flow'!AQ$54</f>
        <v>1710771.7633934347</v>
      </c>
      <c r="C80" s="24" t="str">
        <f>'Cash Flow'!AQ$5</f>
        <v>Forecast</v>
      </c>
    </row>
    <row r="81" spans="1:3">
      <c r="A81" s="61">
        <f>'Cash Flow'!AR$6</f>
        <v>45717</v>
      </c>
      <c r="B81" s="35">
        <f>'Cash Flow'!AR$54</f>
        <v>1245813.1338534774</v>
      </c>
      <c r="C81" s="24" t="str">
        <f>'Cash Flow'!AR$5</f>
        <v>Forecast</v>
      </c>
    </row>
    <row r="82" spans="1:3">
      <c r="A82" s="61">
        <f>'Cash Flow'!AS$6</f>
        <v>45748</v>
      </c>
      <c r="B82" s="35">
        <f>'Cash Flow'!AS$54</f>
        <v>780854.50431352016</v>
      </c>
      <c r="C82" s="24" t="str">
        <f>'Cash Flow'!AS$5</f>
        <v>Forecast</v>
      </c>
    </row>
    <row r="83" spans="1:3">
      <c r="A83" s="61">
        <f>'Cash Flow'!AT$6</f>
        <v>45778</v>
      </c>
      <c r="B83" s="35">
        <f>'Cash Flow'!AT$54</f>
        <v>315895.87477356283</v>
      </c>
      <c r="C83" s="24" t="str">
        <f>'Cash Flow'!AT$5</f>
        <v>Forecast</v>
      </c>
    </row>
    <row r="84" spans="1:3">
      <c r="A84" s="61">
        <f>'Cash Flow'!AU$6</f>
        <v>45809</v>
      </c>
      <c r="B84" s="35">
        <f>'Cash Flow'!AU$54</f>
        <v>-149062.7547663945</v>
      </c>
      <c r="C84" s="24" t="str">
        <f>'Cash Flow'!AU$5</f>
        <v>Forecast</v>
      </c>
    </row>
    <row r="85" spans="1:3">
      <c r="A85" s="61">
        <f>'Cash Flow'!AV$6</f>
        <v>45839</v>
      </c>
      <c r="B85" s="35">
        <f>'Cash Flow'!AV$54</f>
        <v>1530407.617911926</v>
      </c>
      <c r="C85" s="24" t="str">
        <f>'Cash Flow'!AV$5</f>
        <v>Forecast</v>
      </c>
    </row>
    <row r="86" spans="1:3">
      <c r="A86" s="61">
        <f>'Cash Flow'!AW$6</f>
        <v>45870</v>
      </c>
      <c r="B86" s="35">
        <f>'Cash Flow'!AW$54</f>
        <v>1496898.1582294023</v>
      </c>
      <c r="C86" s="24" t="str">
        <f>'Cash Flow'!AW$5</f>
        <v>Forecast</v>
      </c>
    </row>
    <row r="87" spans="1:3">
      <c r="A87" s="61">
        <f>'Cash Flow'!AX$6</f>
        <v>45901</v>
      </c>
      <c r="B87" s="35">
        <f>'Cash Flow'!AX$54</f>
        <v>1463388.6985468785</v>
      </c>
      <c r="C87" s="24" t="str">
        <f>'Cash Flow'!AX$5</f>
        <v>Forecast</v>
      </c>
    </row>
    <row r="88" spans="1:3">
      <c r="A88" s="61">
        <f>'Cash Flow'!AY$6</f>
        <v>45931</v>
      </c>
      <c r="B88" s="35">
        <f>'Cash Flow'!AY$54</f>
        <v>1463388.6985468785</v>
      </c>
      <c r="C88" s="24" t="str">
        <f>'Cash Flow'!AY$5</f>
        <v>Forecast</v>
      </c>
    </row>
    <row r="89" spans="1:3">
      <c r="A89" s="61">
        <f>'Cash Flow'!AZ$6</f>
        <v>45962</v>
      </c>
      <c r="B89" s="35">
        <f>'Cash Flow'!AZ$54</f>
        <v>1463388.6985468785</v>
      </c>
      <c r="C89" s="24" t="str">
        <f>'Cash Flow'!AZ$5</f>
        <v>Forecast</v>
      </c>
    </row>
    <row r="90" spans="1:3">
      <c r="A90" s="62">
        <f>'Cash Flow'!BA$6</f>
        <v>45992</v>
      </c>
      <c r="B90" s="36">
        <f>'Cash Flow'!BA$54</f>
        <v>1005825.872204889</v>
      </c>
      <c r="C90" s="25" t="str">
        <f>'Cash Flow'!BA$5</f>
        <v>Forecast</v>
      </c>
    </row>
  </sheetData>
  <mergeCells count="20">
    <mergeCell ref="A16:D16"/>
    <mergeCell ref="A30:D30"/>
    <mergeCell ref="A42:C42"/>
    <mergeCell ref="A10:C10"/>
    <mergeCell ref="A11:C13"/>
    <mergeCell ref="E10:G10"/>
    <mergeCell ref="E11:G13"/>
    <mergeCell ref="I10:K10"/>
    <mergeCell ref="I11:K13"/>
    <mergeCell ref="A1:N1"/>
    <mergeCell ref="A2:N2"/>
    <mergeCell ref="A4:N4"/>
    <mergeCell ref="A5:C5"/>
    <mergeCell ref="A6:C8"/>
    <mergeCell ref="E5:G5"/>
    <mergeCell ref="E6:G8"/>
    <mergeCell ref="I5:K5"/>
    <mergeCell ref="I6:K8"/>
    <mergeCell ref="M5:N5"/>
    <mergeCell ref="M6:N8"/>
  </mergeCells>
  <hyperlinks>
    <hyperlink ref="J1" location="Cover!A1" tooltip="Back to Cover" display="← Back to Cover" xr:uid="{C7899AED-260F-4ED4-A382-D1975AE9B105}"/>
    <hyperlink ref="N1" location="Cover!A1" tooltip="Back to Cover" display="← Back to Cover" xr:uid="{50E039A4-D94E-4CDC-BCEB-82459BEA89FC}"/>
    <hyperlink ref="N4" location="Cover!A1" tooltip="Back to Cover" display="← Back to Cover" xr:uid="{21392326-32A0-4170-8EA5-4DF042BC3437}"/>
    <hyperlink ref="N3" location="Cover!A1" tooltip="Back to Cover" display="← Back to Cover" xr:uid="{8CF6449C-A11F-4403-BD9C-449626AA1D9F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/>
  <dimension ref="A1:N26"/>
  <sheetViews>
    <sheetView showGridLines="0" workbookViewId="0">
      <selection activeCell="F32" sqref="F32"/>
    </sheetView>
  </sheetViews>
  <sheetFormatPr defaultRowHeight="13.5"/>
  <cols>
    <col min="1" max="1" width="18" customWidth="1"/>
    <col min="2" max="2" width="30" customWidth="1"/>
    <col min="3" max="3" width="13" customWidth="1"/>
    <col min="4" max="12" width="18" customWidth="1"/>
    <col min="13" max="13" width="19" customWidth="1"/>
  </cols>
  <sheetData>
    <row r="1" spans="1:14" ht="30" customHeight="1">
      <c r="A1" s="146" t="s">
        <v>128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25"/>
    </row>
    <row r="2" spans="1:14" ht="28.15" customHeight="1">
      <c r="A2" s="150" t="s">
        <v>129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4" spans="1:14" ht="13.9">
      <c r="N4" s="123" t="s">
        <v>99</v>
      </c>
    </row>
    <row r="5" spans="1:14" ht="30" customHeight="1">
      <c r="A5" s="2" t="s">
        <v>113</v>
      </c>
      <c r="B5" s="3" t="s">
        <v>130</v>
      </c>
      <c r="C5" s="3" t="s">
        <v>131</v>
      </c>
      <c r="D5" s="3" t="s">
        <v>132</v>
      </c>
      <c r="E5" s="3" t="s">
        <v>133</v>
      </c>
      <c r="F5" s="3" t="s">
        <v>134</v>
      </c>
      <c r="G5" s="3" t="s">
        <v>135</v>
      </c>
      <c r="H5" s="3" t="s">
        <v>136</v>
      </c>
      <c r="I5" s="3" t="s">
        <v>137</v>
      </c>
      <c r="J5" s="3" t="s">
        <v>138</v>
      </c>
      <c r="K5" s="3" t="s">
        <v>139</v>
      </c>
      <c r="L5" s="3" t="s">
        <v>140</v>
      </c>
      <c r="M5" s="4" t="s">
        <v>141</v>
      </c>
    </row>
    <row r="6" spans="1:14">
      <c r="A6" s="5" t="s">
        <v>142</v>
      </c>
      <c r="B6" s="5" t="s">
        <v>143</v>
      </c>
      <c r="C6" s="5" t="s">
        <v>10</v>
      </c>
      <c r="D6" s="33">
        <f>Villas!K6</f>
        <v>2800000</v>
      </c>
      <c r="E6" s="33">
        <f>Villas!K7</f>
        <v>2970502.0536795808</v>
      </c>
      <c r="F6" s="33">
        <f>Villas!K8</f>
        <v>2650000</v>
      </c>
      <c r="G6" s="33">
        <f>Villas!K9</f>
        <v>800000</v>
      </c>
      <c r="H6" s="33">
        <f>Villas!K10</f>
        <v>0</v>
      </c>
      <c r="I6" s="33">
        <f>Villas!K11</f>
        <v>0</v>
      </c>
      <c r="J6" s="33">
        <f>Villas!K12</f>
        <v>0</v>
      </c>
      <c r="K6" s="33">
        <f>Villas!K13</f>
        <v>0</v>
      </c>
      <c r="L6" s="33">
        <f>Villas!K14</f>
        <v>1997211</v>
      </c>
      <c r="M6" s="33">
        <f>SUM(D6:L6)</f>
        <v>11217713.053679582</v>
      </c>
    </row>
    <row r="7" spans="1:14">
      <c r="A7" s="6" t="s">
        <v>142</v>
      </c>
      <c r="B7" s="6" t="s">
        <v>144</v>
      </c>
      <c r="C7" s="6" t="s">
        <v>10</v>
      </c>
      <c r="D7" s="35">
        <f>Villas!L6</f>
        <v>300000</v>
      </c>
      <c r="E7" s="35">
        <f>Villas!L7</f>
        <v>0</v>
      </c>
      <c r="F7" s="35">
        <f>Villas!L8</f>
        <v>0</v>
      </c>
      <c r="G7" s="35">
        <f>Villas!L9</f>
        <v>550000</v>
      </c>
      <c r="H7" s="35">
        <f>Villas!L10</f>
        <v>0</v>
      </c>
      <c r="I7" s="35">
        <f>Villas!L11</f>
        <v>0</v>
      </c>
      <c r="J7" s="35">
        <f>Villas!L12</f>
        <v>0</v>
      </c>
      <c r="K7" s="35">
        <f>Villas!L13</f>
        <v>0</v>
      </c>
      <c r="L7" s="35">
        <f>Villas!L14</f>
        <v>0</v>
      </c>
      <c r="M7" s="35">
        <f>SUM(D7:L7)</f>
        <v>850000</v>
      </c>
    </row>
    <row r="8" spans="1:14">
      <c r="A8" s="103" t="s">
        <v>142</v>
      </c>
      <c r="B8" s="103" t="s">
        <v>145</v>
      </c>
      <c r="C8" s="103" t="s">
        <v>10</v>
      </c>
      <c r="D8" s="104">
        <f t="shared" ref="D8:L8" si="0">SUM(D6:D7)</f>
        <v>3100000</v>
      </c>
      <c r="E8" s="104">
        <f t="shared" si="0"/>
        <v>2970502.0536795808</v>
      </c>
      <c r="F8" s="104">
        <f t="shared" si="0"/>
        <v>2650000</v>
      </c>
      <c r="G8" s="104">
        <f t="shared" si="0"/>
        <v>1350000</v>
      </c>
      <c r="H8" s="104">
        <f t="shared" si="0"/>
        <v>0</v>
      </c>
      <c r="I8" s="104">
        <f t="shared" si="0"/>
        <v>0</v>
      </c>
      <c r="J8" s="104">
        <f t="shared" si="0"/>
        <v>0</v>
      </c>
      <c r="K8" s="104">
        <f t="shared" si="0"/>
        <v>0</v>
      </c>
      <c r="L8" s="104">
        <f t="shared" si="0"/>
        <v>1997211</v>
      </c>
      <c r="M8" s="104">
        <f>SUM(D8:L8)</f>
        <v>12067713.053679582</v>
      </c>
    </row>
    <row r="9" spans="1:14">
      <c r="A9" s="6"/>
      <c r="B9" s="6"/>
      <c r="C9" s="6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4">
      <c r="A10" s="6" t="s">
        <v>146</v>
      </c>
      <c r="B10" s="6" t="s">
        <v>117</v>
      </c>
      <c r="C10" s="6" t="s">
        <v>10</v>
      </c>
      <c r="D10" s="35">
        <f>SUMIFS(Allocation!D$81:D$112,Allocation!$B$81:$B$112,"Hard Costs")</f>
        <v>1979436.6452349999</v>
      </c>
      <c r="E10" s="35">
        <f>SUMIFS(Allocation!E$81:E$112,Allocation!$B$81:$B$112,"Hard Costs")</f>
        <v>1315569.4063519998</v>
      </c>
      <c r="F10" s="35">
        <f>SUMIFS(Allocation!F$81:F$112,Allocation!$B$81:$B$112,"Hard Costs")</f>
        <v>1802673.8282470002</v>
      </c>
      <c r="G10" s="35">
        <f>SUMIFS(Allocation!G$81:G$112,Allocation!$B$81:$B$112,"Hard Costs")</f>
        <v>791520.20813399996</v>
      </c>
      <c r="H10" s="35">
        <f>SUMIFS(Allocation!H$81:H$112,Allocation!$B$81:$B$112,"Hard Costs")</f>
        <v>0</v>
      </c>
      <c r="I10" s="35">
        <f>SUMIFS(Allocation!I$81:I$112,Allocation!$B$81:$B$112,"Hard Costs")</f>
        <v>0</v>
      </c>
      <c r="J10" s="35">
        <f>SUMIFS(Allocation!J$81:J$112,Allocation!$B$81:$B$112,"Hard Costs")</f>
        <v>0</v>
      </c>
      <c r="K10" s="35">
        <f>SUMIFS(Allocation!K$81:K$112,Allocation!$B$81:$B$112,"Hard Costs")</f>
        <v>0</v>
      </c>
      <c r="L10" s="35">
        <f>SUMIFS(Allocation!L$81:L$112,Allocation!$B$81:$B$112,"Hard Costs")</f>
        <v>771890.81534699991</v>
      </c>
      <c r="M10" s="35">
        <f t="shared" ref="M10:M17" si="1">SUM(D10:L10)</f>
        <v>6661090.9033150002</v>
      </c>
    </row>
    <row r="11" spans="1:14">
      <c r="A11" s="6" t="s">
        <v>146</v>
      </c>
      <c r="B11" s="6" t="s">
        <v>118</v>
      </c>
      <c r="C11" s="6" t="s">
        <v>10</v>
      </c>
      <c r="D11" s="35">
        <f>SUMIFS(Allocation!D$81:D$112,Allocation!$B$81:$B$112,"Soft Costs")</f>
        <v>134727.14192734458</v>
      </c>
      <c r="E11" s="35">
        <f>SUMIFS(Allocation!E$81:E$112,Allocation!$B$81:$B$112,"Soft Costs")</f>
        <v>76187.543720241665</v>
      </c>
      <c r="F11" s="35">
        <f>SUMIFS(Allocation!F$81:F$112,Allocation!$B$81:$B$112,"Soft Costs")</f>
        <v>96660.332663193622</v>
      </c>
      <c r="G11" s="35">
        <f>SUMIFS(Allocation!G$81:G$112,Allocation!$B$81:$B$112,"Soft Costs")</f>
        <v>36856.636079419863</v>
      </c>
      <c r="H11" s="35">
        <f>SUMIFS(Allocation!H$81:H$112,Allocation!$B$81:$B$112,"Soft Costs")</f>
        <v>40919.294999699792</v>
      </c>
      <c r="I11" s="35">
        <f>SUMIFS(Allocation!I$81:I$112,Allocation!$B$81:$B$112,"Soft Costs")</f>
        <v>109021.55107697971</v>
      </c>
      <c r="J11" s="35">
        <f>SUMIFS(Allocation!J$81:J$112,Allocation!$B$81:$B$112,"Soft Costs")</f>
        <v>154728.29131731359</v>
      </c>
      <c r="K11" s="35">
        <f>SUMIFS(Allocation!K$81:K$112,Allocation!$B$81:$B$112,"Soft Costs")</f>
        <v>206727.99042248784</v>
      </c>
      <c r="L11" s="35">
        <f>SUMIFS(Allocation!L$81:L$112,Allocation!$B$81:$B$112,"Soft Costs")</f>
        <v>49480.479723989716</v>
      </c>
      <c r="M11" s="35">
        <f t="shared" si="1"/>
        <v>905309.26193067047</v>
      </c>
    </row>
    <row r="12" spans="1:14">
      <c r="A12" s="6" t="s">
        <v>146</v>
      </c>
      <c r="B12" s="6" t="s">
        <v>119</v>
      </c>
      <c r="C12" s="6" t="s">
        <v>10</v>
      </c>
      <c r="D12" s="35">
        <f>SUMIFS(Allocation!D$81:D$112,Allocation!$B$81:$B$112,"Project Management")</f>
        <v>351500.07862044574</v>
      </c>
      <c r="E12" s="35">
        <f>SUMIFS(Allocation!E$81:E$112,Allocation!$B$81:$B$112,"Project Management")</f>
        <v>199391.62160583204</v>
      </c>
      <c r="F12" s="35">
        <f>SUMIFS(Allocation!F$81:F$112,Allocation!$B$81:$B$112,"Project Management")</f>
        <v>255740.70096334736</v>
      </c>
      <c r="G12" s="35">
        <f>SUMIFS(Allocation!G$81:G$112,Allocation!$B$81:$B$112,"Project Management")</f>
        <v>94603.938416314195</v>
      </c>
      <c r="H12" s="35">
        <f>SUMIFS(Allocation!H$81:H$112,Allocation!$B$81:$B$112,"Project Management")</f>
        <v>0</v>
      </c>
      <c r="I12" s="35">
        <f>SUMIFS(Allocation!I$81:I$112,Allocation!$B$81:$B$112,"Project Management")</f>
        <v>0</v>
      </c>
      <c r="J12" s="35">
        <f>SUMIFS(Allocation!J$81:J$112,Allocation!$B$81:$B$112,"Project Management")</f>
        <v>0</v>
      </c>
      <c r="K12" s="35">
        <f>SUMIFS(Allocation!K$81:K$112,Allocation!$B$81:$B$112,"Project Management")</f>
        <v>0</v>
      </c>
      <c r="L12" s="35">
        <f>SUMIFS(Allocation!L$81:L$112,Allocation!$B$81:$B$112,"Project Management")</f>
        <v>132697.91353019382</v>
      </c>
      <c r="M12" s="35">
        <f t="shared" si="1"/>
        <v>1033934.2531361332</v>
      </c>
    </row>
    <row r="13" spans="1:14">
      <c r="A13" s="6" t="s">
        <v>146</v>
      </c>
      <c r="B13" s="6" t="s">
        <v>120</v>
      </c>
      <c r="C13" s="6" t="s">
        <v>10</v>
      </c>
      <c r="D13" s="35">
        <f>SUMIFS(Allocation!D$81:D$112,Allocation!$B$81:$B$112,"Contingency")</f>
        <v>405335.14528953854</v>
      </c>
      <c r="E13" s="35">
        <f>SUMIFS(Allocation!E$81:E$112,Allocation!$B$81:$B$112,"Contingency")</f>
        <v>229930.05358723568</v>
      </c>
      <c r="F13" s="35">
        <f>SUMIFS(Allocation!F$81:F$112,Allocation!$B$81:$B$112,"Contingency")</f>
        <v>294909.44806689781</v>
      </c>
      <c r="G13" s="35">
        <f>SUMIFS(Allocation!G$81:G$112,Allocation!$B$81:$B$112,"Contingency")</f>
        <v>109093.29316067124</v>
      </c>
      <c r="H13" s="35">
        <f>SUMIFS(Allocation!H$81:H$112,Allocation!$B$81:$B$112,"Contingency")</f>
        <v>0</v>
      </c>
      <c r="I13" s="35">
        <f>SUMIFS(Allocation!I$81:I$112,Allocation!$B$81:$B$112,"Contingency")</f>
        <v>0</v>
      </c>
      <c r="J13" s="35">
        <f>SUMIFS(Allocation!J$81:J$112,Allocation!$B$81:$B$112,"Contingency")</f>
        <v>0</v>
      </c>
      <c r="K13" s="35">
        <f>SUMIFS(Allocation!K$81:K$112,Allocation!$B$81:$B$112,"Contingency")</f>
        <v>0</v>
      </c>
      <c r="L13" s="35">
        <f>SUMIFS(Allocation!L$81:L$112,Allocation!$B$81:$B$112,"Contingency")</f>
        <v>153021.66722545677</v>
      </c>
      <c r="M13" s="35">
        <f t="shared" si="1"/>
        <v>1192289.6073298</v>
      </c>
    </row>
    <row r="14" spans="1:14">
      <c r="A14" s="6" t="s">
        <v>146</v>
      </c>
      <c r="B14" s="6" t="s">
        <v>121</v>
      </c>
      <c r="C14" s="6" t="s">
        <v>10</v>
      </c>
      <c r="D14" s="35">
        <f>SUMIFS(Allocation!D$81:D$112,Allocation!$B$81:$B$112,"Land")</f>
        <v>69345</v>
      </c>
      <c r="E14" s="35">
        <f>SUMIFS(Allocation!E$81:E$112,Allocation!$B$81:$B$112,"Land")</f>
        <v>30089.999999999996</v>
      </c>
      <c r="F14" s="35">
        <f>SUMIFS(Allocation!F$81:F$112,Allocation!$B$81:$B$112,"Land")</f>
        <v>41715</v>
      </c>
      <c r="G14" s="35">
        <f>SUMIFS(Allocation!G$81:G$112,Allocation!$B$81:$B$112,"Land")</f>
        <v>20580</v>
      </c>
      <c r="H14" s="35">
        <f>SUMIFS(Allocation!H$81:H$112,Allocation!$B$81:$B$112,"Land")</f>
        <v>0</v>
      </c>
      <c r="I14" s="35">
        <f>SUMIFS(Allocation!I$81:I$112,Allocation!$B$81:$B$112,"Land")</f>
        <v>0</v>
      </c>
      <c r="J14" s="35">
        <f>SUMIFS(Allocation!J$81:J$112,Allocation!$B$81:$B$112,"Land")</f>
        <v>0</v>
      </c>
      <c r="K14" s="35">
        <f>SUMIFS(Allocation!K$81:K$112,Allocation!$B$81:$B$112,"Land")</f>
        <v>0</v>
      </c>
      <c r="L14" s="35">
        <f>SUMIFS(Allocation!L$81:L$112,Allocation!$B$81:$B$112,"Land")</f>
        <v>15389.999999999998</v>
      </c>
      <c r="M14" s="35">
        <f t="shared" si="1"/>
        <v>177120</v>
      </c>
    </row>
    <row r="15" spans="1:14">
      <c r="A15" s="6" t="s">
        <v>146</v>
      </c>
      <c r="B15" s="6" t="s">
        <v>122</v>
      </c>
      <c r="C15" s="6" t="s">
        <v>10</v>
      </c>
      <c r="D15" s="35">
        <f>SUMIFS(Allocation!D$81:D$112,Allocation!$B$81:$B$112,"Income Tax")</f>
        <v>70000</v>
      </c>
      <c r="E15" s="35">
        <f>SUMIFS(Allocation!E$81:E$112,Allocation!$B$81:$B$112,"Income Tax")</f>
        <v>74262.551341989529</v>
      </c>
      <c r="F15" s="35">
        <f>SUMIFS(Allocation!F$81:F$112,Allocation!$B$81:$B$112,"Income Tax")</f>
        <v>66250.000000000015</v>
      </c>
      <c r="G15" s="35">
        <f>SUMIFS(Allocation!G$81:G$112,Allocation!$B$81:$B$112,"Income Tax")</f>
        <v>20000</v>
      </c>
      <c r="H15" s="35">
        <f>SUMIFS(Allocation!H$81:H$112,Allocation!$B$81:$B$112,"Income Tax")</f>
        <v>0</v>
      </c>
      <c r="I15" s="35">
        <f>SUMIFS(Allocation!I$81:I$112,Allocation!$B$81:$B$112,"Income Tax")</f>
        <v>0</v>
      </c>
      <c r="J15" s="35">
        <f>SUMIFS(Allocation!J$81:J$112,Allocation!$B$81:$B$112,"Income Tax")</f>
        <v>0</v>
      </c>
      <c r="K15" s="35">
        <f>SUMIFS(Allocation!K$81:K$112,Allocation!$B$81:$B$112,"Income Tax")</f>
        <v>0</v>
      </c>
      <c r="L15" s="35">
        <f>SUMIFS(Allocation!L$81:L$112,Allocation!$B$81:$B$112,"Income Tax")</f>
        <v>49930.275000000001</v>
      </c>
      <c r="M15" s="35">
        <f t="shared" si="1"/>
        <v>280442.82634198957</v>
      </c>
    </row>
    <row r="16" spans="1:14">
      <c r="A16" s="6" t="s">
        <v>146</v>
      </c>
      <c r="B16" s="6" t="s">
        <v>123</v>
      </c>
      <c r="C16" s="6" t="s">
        <v>10</v>
      </c>
      <c r="D16" s="35">
        <f>SUMIFS(Allocation!D$81:D$112,Allocation!$B$81:$B$112,"Other Costs")</f>
        <v>230.40096207759939</v>
      </c>
      <c r="E16" s="35">
        <f>SUMIFS(Allocation!E$81:E$112,Allocation!$B$81:$B$112,"Other Costs")</f>
        <v>130.69704458815494</v>
      </c>
      <c r="F16" s="35">
        <f>SUMIFS(Allocation!F$81:F$112,Allocation!$B$81:$B$112,"Other Costs")</f>
        <v>167.63268951635311</v>
      </c>
      <c r="G16" s="35">
        <f>SUMIFS(Allocation!G$81:G$112,Allocation!$B$81:$B$112,"Other Costs")</f>
        <v>62.010906264932188</v>
      </c>
      <c r="H16" s="35">
        <f>SUMIFS(Allocation!H$81:H$112,Allocation!$B$81:$B$112,"Other Costs")</f>
        <v>0</v>
      </c>
      <c r="I16" s="35">
        <f>SUMIFS(Allocation!I$81:I$112,Allocation!$B$81:$B$112,"Other Costs")</f>
        <v>0</v>
      </c>
      <c r="J16" s="35">
        <f>SUMIFS(Allocation!J$81:J$112,Allocation!$B$81:$B$112,"Other Costs")</f>
        <v>0</v>
      </c>
      <c r="K16" s="35">
        <f>SUMIFS(Allocation!K$81:K$112,Allocation!$B$81:$B$112,"Other Costs")</f>
        <v>0</v>
      </c>
      <c r="L16" s="35">
        <f>SUMIFS(Allocation!L$81:L$112,Allocation!$B$81:$B$112,"Other Costs")</f>
        <v>86.980711535090862</v>
      </c>
      <c r="M16" s="35">
        <f t="shared" si="1"/>
        <v>677.72231398213046</v>
      </c>
    </row>
    <row r="17" spans="1:13">
      <c r="A17" s="103" t="s">
        <v>146</v>
      </c>
      <c r="B17" s="103" t="s">
        <v>147</v>
      </c>
      <c r="C17" s="103" t="s">
        <v>10</v>
      </c>
      <c r="D17" s="104">
        <f t="shared" ref="D17:L17" si="2">SUM(D10:D16)</f>
        <v>3010574.4120344063</v>
      </c>
      <c r="E17" s="104">
        <f t="shared" si="2"/>
        <v>1925561.8736518871</v>
      </c>
      <c r="F17" s="104">
        <f t="shared" si="2"/>
        <v>2558116.9426299552</v>
      </c>
      <c r="G17" s="104">
        <f t="shared" si="2"/>
        <v>1072716.0866966702</v>
      </c>
      <c r="H17" s="104">
        <f t="shared" si="2"/>
        <v>40919.294999699792</v>
      </c>
      <c r="I17" s="104">
        <f t="shared" si="2"/>
        <v>109021.55107697971</v>
      </c>
      <c r="J17" s="104">
        <f t="shared" si="2"/>
        <v>154728.29131731359</v>
      </c>
      <c r="K17" s="104">
        <f t="shared" si="2"/>
        <v>206727.99042248784</v>
      </c>
      <c r="L17" s="104">
        <f t="shared" si="2"/>
        <v>1172498.1315381753</v>
      </c>
      <c r="M17" s="104">
        <f t="shared" si="1"/>
        <v>10250864.574367575</v>
      </c>
    </row>
    <row r="18" spans="1:13" ht="13.9" thickTop="1">
      <c r="A18" s="6"/>
      <c r="B18" s="6"/>
      <c r="C18" s="6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ht="13.9" thickBot="1">
      <c r="A19" s="105" t="s">
        <v>148</v>
      </c>
      <c r="B19" s="105" t="s">
        <v>102</v>
      </c>
      <c r="C19" s="105" t="s">
        <v>10</v>
      </c>
      <c r="D19" s="106">
        <f t="shared" ref="D19:L19" si="3">D8-D17</f>
        <v>89425.587965593673</v>
      </c>
      <c r="E19" s="106">
        <f t="shared" si="3"/>
        <v>1044940.1800276937</v>
      </c>
      <c r="F19" s="106">
        <f t="shared" si="3"/>
        <v>91883.057370044757</v>
      </c>
      <c r="G19" s="106">
        <f t="shared" si="3"/>
        <v>277283.91330332984</v>
      </c>
      <c r="H19" s="106">
        <f t="shared" si="3"/>
        <v>-40919.294999699792</v>
      </c>
      <c r="I19" s="106">
        <f t="shared" si="3"/>
        <v>-109021.55107697971</v>
      </c>
      <c r="J19" s="106">
        <f t="shared" si="3"/>
        <v>-154728.29131731359</v>
      </c>
      <c r="K19" s="106">
        <f t="shared" si="3"/>
        <v>-206727.99042248784</v>
      </c>
      <c r="L19" s="106">
        <f t="shared" si="3"/>
        <v>824712.86846182472</v>
      </c>
      <c r="M19" s="106">
        <f>SUM(D19:L19)</f>
        <v>1816848.4793120059</v>
      </c>
    </row>
    <row r="20" spans="1:13" ht="13.9" thickTop="1">
      <c r="A20" s="6" t="s">
        <v>148</v>
      </c>
      <c r="B20" s="6" t="s">
        <v>103</v>
      </c>
      <c r="C20" s="6" t="s">
        <v>149</v>
      </c>
      <c r="D20" s="73">
        <f t="shared" ref="D20:M20" si="4">IFERROR(D19/D8,0)</f>
        <v>2.8846963859868926E-2</v>
      </c>
      <c r="E20" s="73">
        <f t="shared" si="4"/>
        <v>0.35177224628857579</v>
      </c>
      <c r="F20" s="73">
        <f t="shared" si="4"/>
        <v>3.467285183775274E-2</v>
      </c>
      <c r="G20" s="73">
        <f t="shared" si="4"/>
        <v>0.20539549133579987</v>
      </c>
      <c r="H20" s="73">
        <f t="shared" si="4"/>
        <v>0</v>
      </c>
      <c r="I20" s="73">
        <f t="shared" si="4"/>
        <v>0</v>
      </c>
      <c r="J20" s="73">
        <f t="shared" si="4"/>
        <v>0</v>
      </c>
      <c r="K20" s="73">
        <f t="shared" si="4"/>
        <v>0</v>
      </c>
      <c r="L20" s="73">
        <f t="shared" si="4"/>
        <v>0.41293226827902746</v>
      </c>
      <c r="M20" s="73">
        <f t="shared" si="4"/>
        <v>0.15055449787630046</v>
      </c>
    </row>
    <row r="21" spans="1:13">
      <c r="A21" s="6" t="s">
        <v>148</v>
      </c>
      <c r="B21" s="6" t="s">
        <v>150</v>
      </c>
      <c r="C21" s="6" t="s">
        <v>149</v>
      </c>
      <c r="D21" s="73">
        <f t="shared" ref="D21:M21" si="5">IFERROR(D19/D17,0)</f>
        <v>2.9703829145735685E-2</v>
      </c>
      <c r="E21" s="73">
        <f t="shared" si="5"/>
        <v>0.54266767239524361</v>
      </c>
      <c r="F21" s="73">
        <f t="shared" si="5"/>
        <v>3.5918239639029716E-2</v>
      </c>
      <c r="G21" s="73">
        <f t="shared" si="5"/>
        <v>0.25848769934755056</v>
      </c>
      <c r="H21" s="73">
        <f t="shared" si="5"/>
        <v>-1</v>
      </c>
      <c r="I21" s="73">
        <f t="shared" si="5"/>
        <v>-1</v>
      </c>
      <c r="J21" s="73">
        <f t="shared" si="5"/>
        <v>-1</v>
      </c>
      <c r="K21" s="73">
        <f t="shared" si="5"/>
        <v>-1</v>
      </c>
      <c r="L21" s="73">
        <f t="shared" si="5"/>
        <v>0.70338096605740552</v>
      </c>
      <c r="M21" s="73">
        <f t="shared" si="5"/>
        <v>0.17723856033129731</v>
      </c>
    </row>
    <row r="22" spans="1:13">
      <c r="A22" s="6" t="s">
        <v>148</v>
      </c>
      <c r="B22" s="6" t="s">
        <v>151</v>
      </c>
      <c r="C22" s="6" t="s">
        <v>152</v>
      </c>
      <c r="D22" s="35">
        <f>IFERROR(D8/Villas!I6,0)</f>
        <v>1842.7153302026984</v>
      </c>
      <c r="E22" s="35">
        <f>IFERROR(E8/Villas!I7,0)</f>
        <v>3112.7549551289753</v>
      </c>
      <c r="F22" s="35">
        <f>IFERROR(F8/Villas!I8,0)</f>
        <v>2165.0503680585625</v>
      </c>
      <c r="G22" s="35">
        <f>IFERROR(G8/Villas!I9,0)</f>
        <v>2981.5804585008173</v>
      </c>
      <c r="H22" s="35">
        <f>IFERROR(H8/Villas!I10,0)</f>
        <v>0</v>
      </c>
      <c r="I22" s="35">
        <f>IFERROR(I8/Villas!I11,0)</f>
        <v>0</v>
      </c>
      <c r="J22" s="35">
        <f>IFERROR(J8/Villas!I12,0)</f>
        <v>0</v>
      </c>
      <c r="K22" s="35">
        <f>IFERROR(K8/Villas!I13,0)</f>
        <v>0</v>
      </c>
      <c r="L22" s="35">
        <f>IFERROR(L8/Villas!I14,0)</f>
        <v>3144.7189418989133</v>
      </c>
      <c r="M22" s="35">
        <f>IFERROR(M8/SUM(Villas!$I$6:$I$14),0)</f>
        <v>1104.1353040451384</v>
      </c>
    </row>
    <row r="23" spans="1:13">
      <c r="A23" s="6" t="s">
        <v>148</v>
      </c>
      <c r="B23" s="6" t="s">
        <v>153</v>
      </c>
      <c r="C23" s="6" t="s">
        <v>152</v>
      </c>
      <c r="D23" s="35">
        <f>IFERROR(D17/Villas!I6,0)</f>
        <v>1789.5585876683149</v>
      </c>
      <c r="E23" s="35">
        <f>IFERROR(E17/Villas!I7,0)</f>
        <v>2017.7741524173605</v>
      </c>
      <c r="F23" s="35">
        <f>IFERROR(F17/Villas!I8,0)</f>
        <v>2089.9818974255959</v>
      </c>
      <c r="G23" s="35">
        <f>IFERROR(G17/Villas!I9,0)</f>
        <v>2369.1772752698225</v>
      </c>
      <c r="H23" s="35">
        <f>IFERROR(H17/Villas!I10,0)</f>
        <v>76.307800611106572</v>
      </c>
      <c r="I23" s="35">
        <f>IFERROR(I17/Villas!I11,0)</f>
        <v>84.323266360104967</v>
      </c>
      <c r="J23" s="35">
        <f>IFERROR(J17/Villas!I12,0)</f>
        <v>86.425901422841761</v>
      </c>
      <c r="K23" s="35">
        <f>IFERROR(K17/Villas!I13,0)</f>
        <v>87.535405509913772</v>
      </c>
      <c r="L23" s="35">
        <f>IFERROR(L17/Villas!I14,0)</f>
        <v>1846.1630161205719</v>
      </c>
      <c r="M23" s="35">
        <f>IFERROR(M17/SUM(Villas!$I$6:$I$14),0)</f>
        <v>937.90276775712618</v>
      </c>
    </row>
    <row r="24" spans="1:13">
      <c r="A24" s="6" t="s">
        <v>154</v>
      </c>
      <c r="B24" s="6" t="s">
        <v>155</v>
      </c>
      <c r="C24" s="6" t="s">
        <v>10</v>
      </c>
      <c r="D24" s="35">
        <f>Villas!M6</f>
        <v>3108000.0000000005</v>
      </c>
      <c r="E24" s="35">
        <f>Villas!M7</f>
        <v>3297257.2795843352</v>
      </c>
      <c r="F24" s="35">
        <f>Villas!M8</f>
        <v>2941500.0000000005</v>
      </c>
      <c r="G24" s="35">
        <f>Villas!M9</f>
        <v>888000.00000000012</v>
      </c>
      <c r="H24" s="35">
        <f>Villas!M10</f>
        <v>0</v>
      </c>
      <c r="I24" s="35">
        <f>Villas!M11</f>
        <v>0</v>
      </c>
      <c r="J24" s="35">
        <f>Villas!M12</f>
        <v>0</v>
      </c>
      <c r="K24" s="35">
        <f>Villas!M13</f>
        <v>0</v>
      </c>
      <c r="L24" s="35">
        <f>Villas!M14</f>
        <v>2216904.21</v>
      </c>
      <c r="M24" s="35">
        <f>SUM(D24:L24)</f>
        <v>12451661.489584334</v>
      </c>
    </row>
    <row r="25" spans="1:13">
      <c r="A25" s="6" t="s">
        <v>154</v>
      </c>
      <c r="B25" s="6" t="s">
        <v>156</v>
      </c>
      <c r="C25" s="6" t="s">
        <v>10</v>
      </c>
      <c r="D25" s="35">
        <f>SUMIFS(Inflows!$J$7:$J$29,Inflows!$G$7:$G$29,D$5,Inflows!$B$7:$B$29,"&lt;="&amp;Inputs!$B$11)</f>
        <v>443990</v>
      </c>
      <c r="E25" s="35">
        <f>SUMIFS(Inflows!$J$7:$J$29,Inflows!$G$7:$G$29,E$5,Inflows!$B$7:$B$29,"&lt;="&amp;Inputs!$B$11)</f>
        <v>0</v>
      </c>
      <c r="F25" s="35">
        <f>SUMIFS(Inflows!$J$7:$J$29,Inflows!$G$7:$G$29,F$5,Inflows!$B$7:$B$29,"&lt;="&amp;Inputs!$B$11)</f>
        <v>0</v>
      </c>
      <c r="G25" s="35">
        <f>SUMIFS(Inflows!$J$7:$J$29,Inflows!$G$7:$G$29,G$5,Inflows!$B$7:$B$29,"&lt;="&amp;Inputs!$B$11)</f>
        <v>388541.8</v>
      </c>
      <c r="H25" s="35">
        <f>SUMIFS(Inflows!$J$7:$J$29,Inflows!$G$7:$G$29,H$5,Inflows!$B$7:$B$29,"&lt;="&amp;Inputs!$B$11)</f>
        <v>0</v>
      </c>
      <c r="I25" s="35">
        <f>SUMIFS(Inflows!$J$7:$J$29,Inflows!$G$7:$G$29,I$5,Inflows!$B$7:$B$29,"&lt;="&amp;Inputs!$B$11)</f>
        <v>0</v>
      </c>
      <c r="J25" s="35">
        <f>SUMIFS(Inflows!$J$7:$J$29,Inflows!$G$7:$G$29,J$5,Inflows!$B$7:$B$29,"&lt;="&amp;Inputs!$B$11)</f>
        <v>0</v>
      </c>
      <c r="K25" s="35">
        <f>SUMIFS(Inflows!$J$7:$J$29,Inflows!$G$7:$G$29,K$5,Inflows!$B$7:$B$29,"&lt;="&amp;Inputs!$B$11)</f>
        <v>0</v>
      </c>
      <c r="L25" s="35">
        <f>SUMIFS(Inflows!$J$7:$J$29,Inflows!$G$7:$G$29,L$5,Inflows!$B$7:$B$29,"&lt;="&amp;Inputs!$B$11)</f>
        <v>0</v>
      </c>
      <c r="M25" s="35">
        <f>SUM(D25:L25)</f>
        <v>832531.8</v>
      </c>
    </row>
    <row r="26" spans="1:13">
      <c r="A26" s="7" t="s">
        <v>154</v>
      </c>
      <c r="B26" s="7" t="s">
        <v>157</v>
      </c>
      <c r="C26" s="7" t="s">
        <v>10</v>
      </c>
      <c r="D26" s="36">
        <f t="shared" ref="D26:L26" si="6">MAX(D24-D25,0)</f>
        <v>2664010.0000000005</v>
      </c>
      <c r="E26" s="36">
        <f t="shared" si="6"/>
        <v>3297257.2795843352</v>
      </c>
      <c r="F26" s="36">
        <f t="shared" si="6"/>
        <v>2941500.0000000005</v>
      </c>
      <c r="G26" s="36">
        <f t="shared" si="6"/>
        <v>499458.20000000013</v>
      </c>
      <c r="H26" s="36">
        <f t="shared" si="6"/>
        <v>0</v>
      </c>
      <c r="I26" s="36">
        <f t="shared" si="6"/>
        <v>0</v>
      </c>
      <c r="J26" s="36">
        <f t="shared" si="6"/>
        <v>0</v>
      </c>
      <c r="K26" s="36">
        <f t="shared" si="6"/>
        <v>0</v>
      </c>
      <c r="L26" s="36">
        <f t="shared" si="6"/>
        <v>2216904.21</v>
      </c>
      <c r="M26" s="36">
        <f>SUM(D26:L26)</f>
        <v>11619129.689584333</v>
      </c>
    </row>
  </sheetData>
  <mergeCells count="2">
    <mergeCell ref="A1:M1"/>
    <mergeCell ref="A2:M2"/>
  </mergeCells>
  <hyperlinks>
    <hyperlink ref="J1" location="Cover!A1" tooltip="Back to Cover" display="← Back to Cover" xr:uid="{74DC982E-917A-4B77-8D2B-2171A460EB09}"/>
    <hyperlink ref="N4" location="Cover!A1" tooltip="Back to Cover" display="← Back to Cover" xr:uid="{0C797263-8149-4B9F-B8B4-9F458FB2E01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/>
  <dimension ref="A1:BA55"/>
  <sheetViews>
    <sheetView showGridLines="0" workbookViewId="0">
      <selection activeCell="BA42" sqref="BA42"/>
    </sheetView>
  </sheetViews>
  <sheetFormatPr defaultRowHeight="13.5"/>
  <cols>
    <col min="1" max="1" width="34" customWidth="1"/>
    <col min="2" max="4" width="18" customWidth="1"/>
    <col min="5" max="6" width="15" customWidth="1"/>
    <col min="7" max="53" width="12" customWidth="1"/>
  </cols>
  <sheetData>
    <row r="1" spans="1:53" ht="30" customHeight="1">
      <c r="A1" s="146" t="s">
        <v>158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71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</row>
    <row r="2" spans="1:53" ht="28.15" customHeight="1">
      <c r="A2" s="150" t="s">
        <v>159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</row>
    <row r="4" spans="1:53" ht="13.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28" t="s">
        <v>99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30" customHeight="1">
      <c r="A5" s="79" t="s">
        <v>160</v>
      </c>
      <c r="B5" s="80" t="s">
        <v>161</v>
      </c>
      <c r="C5" s="80" t="s">
        <v>162</v>
      </c>
      <c r="D5" s="80" t="s">
        <v>163</v>
      </c>
      <c r="E5" s="80" t="s">
        <v>164</v>
      </c>
      <c r="F5" s="80" t="s">
        <v>165</v>
      </c>
      <c r="G5" s="85" t="s">
        <v>166</v>
      </c>
      <c r="H5" s="85" t="s">
        <v>166</v>
      </c>
      <c r="I5" s="85" t="s">
        <v>166</v>
      </c>
      <c r="J5" s="85" t="s">
        <v>166</v>
      </c>
      <c r="K5" s="85" t="s">
        <v>166</v>
      </c>
      <c r="L5" s="85" t="s">
        <v>166</v>
      </c>
      <c r="M5" s="85" t="s">
        <v>166</v>
      </c>
      <c r="N5" s="85" t="s">
        <v>166</v>
      </c>
      <c r="O5" s="85" t="s">
        <v>166</v>
      </c>
      <c r="P5" s="85" t="s">
        <v>166</v>
      </c>
      <c r="Q5" s="85" t="s">
        <v>166</v>
      </c>
      <c r="R5" s="85" t="s">
        <v>166</v>
      </c>
      <c r="S5" s="85" t="s">
        <v>166</v>
      </c>
      <c r="T5" s="85" t="s">
        <v>166</v>
      </c>
      <c r="U5" s="85" t="s">
        <v>166</v>
      </c>
      <c r="V5" s="85" t="s">
        <v>166</v>
      </c>
      <c r="W5" s="85" t="s">
        <v>166</v>
      </c>
      <c r="X5" s="85" t="s">
        <v>166</v>
      </c>
      <c r="Y5" s="85" t="s">
        <v>166</v>
      </c>
      <c r="Z5" s="85" t="s">
        <v>166</v>
      </c>
      <c r="AA5" s="85" t="s">
        <v>166</v>
      </c>
      <c r="AB5" s="85" t="s">
        <v>166</v>
      </c>
      <c r="AC5" s="85" t="s">
        <v>166</v>
      </c>
      <c r="AD5" s="86" t="s">
        <v>167</v>
      </c>
      <c r="AE5" s="86" t="s">
        <v>167</v>
      </c>
      <c r="AF5" s="86" t="s">
        <v>167</v>
      </c>
      <c r="AG5" s="86" t="s">
        <v>167</v>
      </c>
      <c r="AH5" s="86" t="s">
        <v>167</v>
      </c>
      <c r="AI5" s="86" t="s">
        <v>167</v>
      </c>
      <c r="AJ5" s="86" t="s">
        <v>167</v>
      </c>
      <c r="AK5" s="86" t="s">
        <v>167</v>
      </c>
      <c r="AL5" s="86" t="s">
        <v>167</v>
      </c>
      <c r="AM5" s="86" t="s">
        <v>167</v>
      </c>
      <c r="AN5" s="86" t="s">
        <v>167</v>
      </c>
      <c r="AO5" s="86" t="s">
        <v>167</v>
      </c>
      <c r="AP5" s="86" t="s">
        <v>167</v>
      </c>
      <c r="AQ5" s="86" t="s">
        <v>167</v>
      </c>
      <c r="AR5" s="86" t="s">
        <v>167</v>
      </c>
      <c r="AS5" s="86" t="s">
        <v>167</v>
      </c>
      <c r="AT5" s="86" t="s">
        <v>167</v>
      </c>
      <c r="AU5" s="86" t="s">
        <v>167</v>
      </c>
      <c r="AV5" s="86" t="s">
        <v>167</v>
      </c>
      <c r="AW5" s="86" t="s">
        <v>167</v>
      </c>
      <c r="AX5" s="86" t="s">
        <v>167</v>
      </c>
      <c r="AY5" s="86" t="s">
        <v>167</v>
      </c>
      <c r="AZ5" s="86" t="s">
        <v>167</v>
      </c>
      <c r="BA5" s="87" t="s">
        <v>167</v>
      </c>
    </row>
    <row r="6" spans="1:53" ht="30" customHeight="1">
      <c r="A6" s="81"/>
      <c r="B6" s="82"/>
      <c r="C6" s="82"/>
      <c r="D6" s="82"/>
      <c r="E6" s="82"/>
      <c r="F6" s="82"/>
      <c r="G6" s="83">
        <v>44593</v>
      </c>
      <c r="H6" s="83">
        <v>44621</v>
      </c>
      <c r="I6" s="83">
        <v>44652</v>
      </c>
      <c r="J6" s="83">
        <v>44682</v>
      </c>
      <c r="K6" s="83">
        <v>44713</v>
      </c>
      <c r="L6" s="83">
        <v>44743</v>
      </c>
      <c r="M6" s="83">
        <v>44774</v>
      </c>
      <c r="N6" s="83">
        <v>44805</v>
      </c>
      <c r="O6" s="83">
        <v>44835</v>
      </c>
      <c r="P6" s="83">
        <v>44866</v>
      </c>
      <c r="Q6" s="83">
        <v>44896</v>
      </c>
      <c r="R6" s="83">
        <v>44927</v>
      </c>
      <c r="S6" s="83">
        <v>44958</v>
      </c>
      <c r="T6" s="83">
        <v>44986</v>
      </c>
      <c r="U6" s="83">
        <v>45017</v>
      </c>
      <c r="V6" s="83">
        <v>45047</v>
      </c>
      <c r="W6" s="83">
        <v>45078</v>
      </c>
      <c r="X6" s="83">
        <v>45108</v>
      </c>
      <c r="Y6" s="83">
        <v>45139</v>
      </c>
      <c r="Z6" s="83">
        <v>45170</v>
      </c>
      <c r="AA6" s="83">
        <v>45200</v>
      </c>
      <c r="AB6" s="83">
        <v>45231</v>
      </c>
      <c r="AC6" s="83">
        <v>45261</v>
      </c>
      <c r="AD6" s="83">
        <v>45292</v>
      </c>
      <c r="AE6" s="83">
        <v>45323</v>
      </c>
      <c r="AF6" s="83">
        <v>45352</v>
      </c>
      <c r="AG6" s="83">
        <v>45383</v>
      </c>
      <c r="AH6" s="83">
        <v>45413</v>
      </c>
      <c r="AI6" s="83">
        <v>45444</v>
      </c>
      <c r="AJ6" s="83">
        <v>45474</v>
      </c>
      <c r="AK6" s="83">
        <v>45505</v>
      </c>
      <c r="AL6" s="83">
        <v>45536</v>
      </c>
      <c r="AM6" s="83">
        <v>45566</v>
      </c>
      <c r="AN6" s="83">
        <v>45597</v>
      </c>
      <c r="AO6" s="83">
        <v>45627</v>
      </c>
      <c r="AP6" s="83">
        <v>45658</v>
      </c>
      <c r="AQ6" s="83">
        <v>45689</v>
      </c>
      <c r="AR6" s="83">
        <v>45717</v>
      </c>
      <c r="AS6" s="83">
        <v>45748</v>
      </c>
      <c r="AT6" s="83">
        <v>45778</v>
      </c>
      <c r="AU6" s="83">
        <v>45809</v>
      </c>
      <c r="AV6" s="83">
        <v>45839</v>
      </c>
      <c r="AW6" s="83">
        <v>45870</v>
      </c>
      <c r="AX6" s="83">
        <v>45901</v>
      </c>
      <c r="AY6" s="83">
        <v>45931</v>
      </c>
      <c r="AZ6" s="83">
        <v>45962</v>
      </c>
      <c r="BA6" s="84">
        <v>45992</v>
      </c>
    </row>
    <row r="7" spans="1:53">
      <c r="A7" s="163" t="s">
        <v>168</v>
      </c>
      <c r="B7" s="163" t="s">
        <v>168</v>
      </c>
      <c r="C7" s="163" t="s">
        <v>168</v>
      </c>
      <c r="D7" s="163" t="s">
        <v>168</v>
      </c>
      <c r="E7" s="163" t="s">
        <v>168</v>
      </c>
      <c r="F7" s="163" t="s">
        <v>168</v>
      </c>
      <c r="G7" s="163" t="s">
        <v>168</v>
      </c>
      <c r="H7" s="163" t="s">
        <v>168</v>
      </c>
      <c r="I7" s="163" t="s">
        <v>168</v>
      </c>
      <c r="J7" s="163" t="s">
        <v>168</v>
      </c>
      <c r="K7" s="163" t="s">
        <v>168</v>
      </c>
      <c r="L7" s="163" t="s">
        <v>168</v>
      </c>
      <c r="M7" s="163" t="s">
        <v>168</v>
      </c>
      <c r="N7" s="163" t="s">
        <v>168</v>
      </c>
      <c r="O7" s="163" t="s">
        <v>168</v>
      </c>
      <c r="P7" s="163" t="s">
        <v>168</v>
      </c>
      <c r="Q7" s="163" t="s">
        <v>168</v>
      </c>
      <c r="R7" s="163" t="s">
        <v>168</v>
      </c>
      <c r="S7" s="163" t="s">
        <v>168</v>
      </c>
      <c r="T7" s="163" t="s">
        <v>168</v>
      </c>
      <c r="U7" s="163" t="s">
        <v>168</v>
      </c>
      <c r="V7" s="163" t="s">
        <v>168</v>
      </c>
      <c r="W7" s="163" t="s">
        <v>168</v>
      </c>
      <c r="X7" s="163" t="s">
        <v>168</v>
      </c>
      <c r="Y7" s="163" t="s">
        <v>168</v>
      </c>
      <c r="Z7" s="163" t="s">
        <v>168</v>
      </c>
      <c r="AA7" s="163" t="s">
        <v>168</v>
      </c>
      <c r="AB7" s="163" t="s">
        <v>168</v>
      </c>
      <c r="AC7" s="163" t="s">
        <v>168</v>
      </c>
      <c r="AD7" s="163" t="s">
        <v>168</v>
      </c>
      <c r="AE7" s="163" t="s">
        <v>168</v>
      </c>
      <c r="AF7" s="163" t="s">
        <v>168</v>
      </c>
      <c r="AG7" s="163" t="s">
        <v>168</v>
      </c>
      <c r="AH7" s="163" t="s">
        <v>168</v>
      </c>
      <c r="AI7" s="163" t="s">
        <v>168</v>
      </c>
      <c r="AJ7" s="163" t="s">
        <v>168</v>
      </c>
      <c r="AK7" s="163" t="s">
        <v>168</v>
      </c>
      <c r="AL7" s="163" t="s">
        <v>168</v>
      </c>
      <c r="AM7" s="163" t="s">
        <v>168</v>
      </c>
      <c r="AN7" s="163" t="s">
        <v>168</v>
      </c>
      <c r="AO7" s="163" t="s">
        <v>168</v>
      </c>
      <c r="AP7" s="163" t="s">
        <v>168</v>
      </c>
      <c r="AQ7" s="163" t="s">
        <v>168</v>
      </c>
      <c r="AR7" s="163" t="s">
        <v>168</v>
      </c>
      <c r="AS7" s="163" t="s">
        <v>168</v>
      </c>
      <c r="AT7" s="163" t="s">
        <v>168</v>
      </c>
      <c r="AU7" s="163" t="s">
        <v>168</v>
      </c>
      <c r="AV7" s="163" t="s">
        <v>168</v>
      </c>
      <c r="AW7" s="163" t="s">
        <v>168</v>
      </c>
      <c r="AX7" s="163" t="s">
        <v>168</v>
      </c>
      <c r="AY7" s="163" t="s">
        <v>168</v>
      </c>
      <c r="AZ7" s="163" t="s">
        <v>168</v>
      </c>
      <c r="BA7" s="163" t="s">
        <v>168</v>
      </c>
    </row>
    <row r="8" spans="1:53">
      <c r="A8" s="5" t="s">
        <v>132</v>
      </c>
      <c r="B8" s="33">
        <f>INDEX(Villas!$M$6:$M$14,MATCH(A8,Villas!$C$6:$C$14,0))</f>
        <v>3108000.0000000005</v>
      </c>
      <c r="C8" s="33">
        <f>SUMIFS(Inflows!$J$7:$J$29,Inflows!$G$7:$G$29,A8,Inflows!$B$7:$B$29,"&lt;="&amp;Inputs!$B$11)</f>
        <v>443990</v>
      </c>
      <c r="D8" s="33">
        <f>MAX(B8-C8,0)</f>
        <v>2664010.0000000005</v>
      </c>
      <c r="E8" s="61">
        <f>_xlfn.MINIFS('Sales Plan'!$C$7:$C$42,'Sales Plan'!$A$7:$A$42,A8)</f>
        <v>45292</v>
      </c>
      <c r="F8" s="60">
        <f>_xlfn.MAXIFS('Sales Plan'!$C$7:$C$42,'Sales Plan'!$A$7:$A$42,A8)</f>
        <v>45839</v>
      </c>
      <c r="G8" s="33">
        <f>IF(G$5="Actual",SUMIFS(Inflows!$J$7:$J$29,Inflows!$G$7:$G$29,$A8,Inflows!$K$7:$K$29,G$6),SUMIFS('Sales Plan'!$H$7:$H$42,'Sales Plan'!$A$7:$A$42,$A8,'Sales Plan'!$C$7:$C$42,G$6))</f>
        <v>0</v>
      </c>
      <c r="H8" s="33">
        <f>IF(H$5="Actual",SUMIFS(Inflows!$J$7:$J$29,Inflows!$G$7:$G$29,$A8,Inflows!$K$7:$K$29,H$6),SUMIFS('Sales Plan'!$H$7:$H$42,'Sales Plan'!$A$7:$A$42,$A8,'Sales Plan'!$C$7:$C$42,H$6))</f>
        <v>0</v>
      </c>
      <c r="I8" s="33">
        <f>IF(I$5="Actual",SUMIFS(Inflows!$J$7:$J$29,Inflows!$G$7:$G$29,$A8,Inflows!$K$7:$K$29,I$6),SUMIFS('Sales Plan'!$H$7:$H$42,'Sales Plan'!$A$7:$A$42,$A8,'Sales Plan'!$C$7:$C$42,I$6))</f>
        <v>0</v>
      </c>
      <c r="J8" s="33">
        <f>IF(J$5="Actual",SUMIFS(Inflows!$J$7:$J$29,Inflows!$G$7:$G$29,$A8,Inflows!$K$7:$K$29,J$6),SUMIFS('Sales Plan'!$H$7:$H$42,'Sales Plan'!$A$7:$A$42,$A8,'Sales Plan'!$C$7:$C$42,J$6))</f>
        <v>0</v>
      </c>
      <c r="K8" s="33">
        <f>IF(K$5="Actual",SUMIFS(Inflows!$J$7:$J$29,Inflows!$G$7:$G$29,$A8,Inflows!$K$7:$K$29,K$6),SUMIFS('Sales Plan'!$H$7:$H$42,'Sales Plan'!$A$7:$A$42,$A8,'Sales Plan'!$C$7:$C$42,K$6))</f>
        <v>0</v>
      </c>
      <c r="L8" s="33">
        <f>IF(L$5="Actual",SUMIFS(Inflows!$J$7:$J$29,Inflows!$G$7:$G$29,$A8,Inflows!$K$7:$K$29,L$6),SUMIFS('Sales Plan'!$H$7:$H$42,'Sales Plan'!$A$7:$A$42,$A8,'Sales Plan'!$C$7:$C$42,L$6))</f>
        <v>0</v>
      </c>
      <c r="M8" s="33">
        <f>IF(M$5="Actual",SUMIFS(Inflows!$J$7:$J$29,Inflows!$G$7:$G$29,$A8,Inflows!$K$7:$K$29,M$6),SUMIFS('Sales Plan'!$H$7:$H$42,'Sales Plan'!$A$7:$A$42,$A8,'Sales Plan'!$C$7:$C$42,M$6))</f>
        <v>0</v>
      </c>
      <c r="N8" s="33">
        <f>IF(N$5="Actual",SUMIFS(Inflows!$J$7:$J$29,Inflows!$G$7:$G$29,$A8,Inflows!$K$7:$K$29,N$6),SUMIFS('Sales Plan'!$H$7:$H$42,'Sales Plan'!$A$7:$A$42,$A8,'Sales Plan'!$C$7:$C$42,N$6))</f>
        <v>0</v>
      </c>
      <c r="O8" s="33">
        <f>IF(O$5="Actual",SUMIFS(Inflows!$J$7:$J$29,Inflows!$G$7:$G$29,$A8,Inflows!$K$7:$K$29,O$6),SUMIFS('Sales Plan'!$H$7:$H$42,'Sales Plan'!$A$7:$A$42,$A8,'Sales Plan'!$C$7:$C$42,O$6))</f>
        <v>0</v>
      </c>
      <c r="P8" s="33">
        <f>IF(P$5="Actual",SUMIFS(Inflows!$J$7:$J$29,Inflows!$G$7:$G$29,$A8,Inflows!$K$7:$K$29,P$6),SUMIFS('Sales Plan'!$H$7:$H$42,'Sales Plan'!$A$7:$A$42,$A8,'Sales Plan'!$C$7:$C$42,P$6))</f>
        <v>0</v>
      </c>
      <c r="Q8" s="33">
        <f>IF(Q$5="Actual",SUMIFS(Inflows!$J$7:$J$29,Inflows!$G$7:$G$29,$A8,Inflows!$K$7:$K$29,Q$6),SUMIFS('Sales Plan'!$H$7:$H$42,'Sales Plan'!$A$7:$A$42,$A8,'Sales Plan'!$C$7:$C$42,Q$6))</f>
        <v>221995</v>
      </c>
      <c r="R8" s="33">
        <f>IF(R$5="Actual",SUMIFS(Inflows!$J$7:$J$29,Inflows!$G$7:$G$29,$A8,Inflows!$K$7:$K$29,R$6),SUMIFS('Sales Plan'!$H$7:$H$42,'Sales Plan'!$A$7:$A$42,$A8,'Sales Plan'!$C$7:$C$42,R$6))</f>
        <v>0</v>
      </c>
      <c r="S8" s="33">
        <f>IF(S$5="Actual",SUMIFS(Inflows!$J$7:$J$29,Inflows!$G$7:$G$29,$A8,Inflows!$K$7:$K$29,S$6),SUMIFS('Sales Plan'!$H$7:$H$42,'Sales Plan'!$A$7:$A$42,$A8,'Sales Plan'!$C$7:$C$42,S$6))</f>
        <v>221995</v>
      </c>
      <c r="T8" s="33">
        <f>IF(T$5="Actual",SUMIFS(Inflows!$J$7:$J$29,Inflows!$G$7:$G$29,$A8,Inflows!$K$7:$K$29,T$6),SUMIFS('Sales Plan'!$H$7:$H$42,'Sales Plan'!$A$7:$A$42,$A8,'Sales Plan'!$C$7:$C$42,T$6))</f>
        <v>0</v>
      </c>
      <c r="U8" s="33">
        <f>IF(U$5="Actual",SUMIFS(Inflows!$J$7:$J$29,Inflows!$G$7:$G$29,$A8,Inflows!$K$7:$K$29,U$6),SUMIFS('Sales Plan'!$H$7:$H$42,'Sales Plan'!$A$7:$A$42,$A8,'Sales Plan'!$C$7:$C$42,U$6))</f>
        <v>0</v>
      </c>
      <c r="V8" s="33">
        <f>IF(V$5="Actual",SUMIFS(Inflows!$J$7:$J$29,Inflows!$G$7:$G$29,$A8,Inflows!$K$7:$K$29,V$6),SUMIFS('Sales Plan'!$H$7:$H$42,'Sales Plan'!$A$7:$A$42,$A8,'Sales Plan'!$C$7:$C$42,V$6))</f>
        <v>0</v>
      </c>
      <c r="W8" s="33">
        <f>IF(W$5="Actual",SUMIFS(Inflows!$J$7:$J$29,Inflows!$G$7:$G$29,$A8,Inflows!$K$7:$K$29,W$6),SUMIFS('Sales Plan'!$H$7:$H$42,'Sales Plan'!$A$7:$A$42,$A8,'Sales Plan'!$C$7:$C$42,W$6))</f>
        <v>0</v>
      </c>
      <c r="X8" s="33">
        <f>IF(X$5="Actual",SUMIFS(Inflows!$J$7:$J$29,Inflows!$G$7:$G$29,$A8,Inflows!$K$7:$K$29,X$6),SUMIFS('Sales Plan'!$H$7:$H$42,'Sales Plan'!$A$7:$A$42,$A8,'Sales Plan'!$C$7:$C$42,X$6))</f>
        <v>0</v>
      </c>
      <c r="Y8" s="33">
        <f>IF(Y$5="Actual",SUMIFS(Inflows!$J$7:$J$29,Inflows!$G$7:$G$29,$A8,Inflows!$K$7:$K$29,Y$6),SUMIFS('Sales Plan'!$H$7:$H$42,'Sales Plan'!$A$7:$A$42,$A8,'Sales Plan'!$C$7:$C$42,Y$6))</f>
        <v>0</v>
      </c>
      <c r="Z8" s="33">
        <f>IF(Z$5="Actual",SUMIFS(Inflows!$J$7:$J$29,Inflows!$G$7:$G$29,$A8,Inflows!$K$7:$K$29,Z$6),SUMIFS('Sales Plan'!$H$7:$H$42,'Sales Plan'!$A$7:$A$42,$A8,'Sales Plan'!$C$7:$C$42,Z$6))</f>
        <v>0</v>
      </c>
      <c r="AA8" s="33">
        <f>IF(AA$5="Actual",SUMIFS(Inflows!$J$7:$J$29,Inflows!$G$7:$G$29,$A8,Inflows!$K$7:$K$29,AA$6),SUMIFS('Sales Plan'!$H$7:$H$42,'Sales Plan'!$A$7:$A$42,$A8,'Sales Plan'!$C$7:$C$42,AA$6))</f>
        <v>0</v>
      </c>
      <c r="AB8" s="33">
        <f>IF(AB$5="Actual",SUMIFS(Inflows!$J$7:$J$29,Inflows!$G$7:$G$29,$A8,Inflows!$K$7:$K$29,AB$6),SUMIFS('Sales Plan'!$H$7:$H$42,'Sales Plan'!$A$7:$A$42,$A8,'Sales Plan'!$C$7:$C$42,AB$6))</f>
        <v>0</v>
      </c>
      <c r="AC8" s="33">
        <f>IF(AC$5="Actual",SUMIFS(Inflows!$J$7:$J$29,Inflows!$G$7:$G$29,$A8,Inflows!$K$7:$K$29,AC$6),SUMIFS('Sales Plan'!$H$7:$H$42,'Sales Plan'!$A$7:$A$42,$A8,'Sales Plan'!$C$7:$C$42,AC$6))</f>
        <v>0</v>
      </c>
      <c r="AD8" s="33">
        <f>IF(AD$5="Actual",SUMIFS(Inflows!$J$7:$J$29,Inflows!$G$7:$G$29,$A8,Inflows!$K$7:$K$29,AD$6),SUMIFS('Sales Plan'!$H$7:$H$42,'Sales Plan'!$A$7:$A$42,$A8,'Sales Plan'!$C$7:$C$42,AD$6))</f>
        <v>799203.00000000012</v>
      </c>
      <c r="AE8" s="33">
        <f>IF(AE$5="Actual",SUMIFS(Inflows!$J$7:$J$29,Inflows!$G$7:$G$29,$A8,Inflows!$K$7:$K$29,AE$6),SUMIFS('Sales Plan'!$H$7:$H$42,'Sales Plan'!$A$7:$A$42,$A8,'Sales Plan'!$C$7:$C$42,AE$6))</f>
        <v>0</v>
      </c>
      <c r="AF8" s="33">
        <f>IF(AF$5="Actual",SUMIFS(Inflows!$J$7:$J$29,Inflows!$G$7:$G$29,$A8,Inflows!$K$7:$K$29,AF$6),SUMIFS('Sales Plan'!$H$7:$H$42,'Sales Plan'!$A$7:$A$42,$A8,'Sales Plan'!$C$7:$C$42,AF$6))</f>
        <v>0</v>
      </c>
      <c r="AG8" s="33">
        <f>IF(AG$5="Actual",SUMIFS(Inflows!$J$7:$J$29,Inflows!$G$7:$G$29,$A8,Inflows!$K$7:$K$29,AG$6),SUMIFS('Sales Plan'!$H$7:$H$42,'Sales Plan'!$A$7:$A$42,$A8,'Sales Plan'!$C$7:$C$42,AG$6))</f>
        <v>0</v>
      </c>
      <c r="AH8" s="33">
        <f>IF(AH$5="Actual",SUMIFS(Inflows!$J$7:$J$29,Inflows!$G$7:$G$29,$A8,Inflows!$K$7:$K$29,AH$6),SUMIFS('Sales Plan'!$H$7:$H$42,'Sales Plan'!$A$7:$A$42,$A8,'Sales Plan'!$C$7:$C$42,AH$6))</f>
        <v>0</v>
      </c>
      <c r="AI8" s="33">
        <f>IF(AI$5="Actual",SUMIFS(Inflows!$J$7:$J$29,Inflows!$G$7:$G$29,$A8,Inflows!$K$7:$K$29,AI$6),SUMIFS('Sales Plan'!$H$7:$H$42,'Sales Plan'!$A$7:$A$42,$A8,'Sales Plan'!$C$7:$C$42,AI$6))</f>
        <v>0</v>
      </c>
      <c r="AJ8" s="33">
        <f>IF(AJ$5="Actual",SUMIFS(Inflows!$J$7:$J$29,Inflows!$G$7:$G$29,$A8,Inflows!$K$7:$K$29,AJ$6),SUMIFS('Sales Plan'!$H$7:$H$42,'Sales Plan'!$A$7:$A$42,$A8,'Sales Plan'!$C$7:$C$42,AJ$6))</f>
        <v>532802.00000000012</v>
      </c>
      <c r="AK8" s="33">
        <f>IF(AK$5="Actual",SUMIFS(Inflows!$J$7:$J$29,Inflows!$G$7:$G$29,$A8,Inflows!$K$7:$K$29,AK$6),SUMIFS('Sales Plan'!$H$7:$H$42,'Sales Plan'!$A$7:$A$42,$A8,'Sales Plan'!$C$7:$C$42,AK$6))</f>
        <v>0</v>
      </c>
      <c r="AL8" s="33">
        <f>IF(AL$5="Actual",SUMIFS(Inflows!$J$7:$J$29,Inflows!$G$7:$G$29,$A8,Inflows!$K$7:$K$29,AL$6),SUMIFS('Sales Plan'!$H$7:$H$42,'Sales Plan'!$A$7:$A$42,$A8,'Sales Plan'!$C$7:$C$42,AL$6))</f>
        <v>0</v>
      </c>
      <c r="AM8" s="33">
        <f>IF(AM$5="Actual",SUMIFS(Inflows!$J$7:$J$29,Inflows!$G$7:$G$29,$A8,Inflows!$K$7:$K$29,AM$6),SUMIFS('Sales Plan'!$H$7:$H$42,'Sales Plan'!$A$7:$A$42,$A8,'Sales Plan'!$C$7:$C$42,AM$6))</f>
        <v>0</v>
      </c>
      <c r="AN8" s="33">
        <f>IF(AN$5="Actual",SUMIFS(Inflows!$J$7:$J$29,Inflows!$G$7:$G$29,$A8,Inflows!$K$7:$K$29,AN$6),SUMIFS('Sales Plan'!$H$7:$H$42,'Sales Plan'!$A$7:$A$42,$A8,'Sales Plan'!$C$7:$C$42,AN$6))</f>
        <v>0</v>
      </c>
      <c r="AO8" s="33">
        <f>IF(AO$5="Actual",SUMIFS(Inflows!$J$7:$J$29,Inflows!$G$7:$G$29,$A8,Inflows!$K$7:$K$29,AO$6),SUMIFS('Sales Plan'!$H$7:$H$42,'Sales Plan'!$A$7:$A$42,$A8,'Sales Plan'!$C$7:$C$42,AO$6))</f>
        <v>0</v>
      </c>
      <c r="AP8" s="33">
        <f>IF(AP$5="Actual",SUMIFS(Inflows!$J$7:$J$29,Inflows!$G$7:$G$29,$A8,Inflows!$K$7:$K$29,AP$6),SUMIFS('Sales Plan'!$H$7:$H$42,'Sales Plan'!$A$7:$A$42,$A8,'Sales Plan'!$C$7:$C$42,AP$6))</f>
        <v>799203.00000000012</v>
      </c>
      <c r="AQ8" s="33">
        <f>IF(AQ$5="Actual",SUMIFS(Inflows!$J$7:$J$29,Inflows!$G$7:$G$29,$A8,Inflows!$K$7:$K$29,AQ$6),SUMIFS('Sales Plan'!$H$7:$H$42,'Sales Plan'!$A$7:$A$42,$A8,'Sales Plan'!$C$7:$C$42,AQ$6))</f>
        <v>0</v>
      </c>
      <c r="AR8" s="33">
        <f>IF(AR$5="Actual",SUMIFS(Inflows!$J$7:$J$29,Inflows!$G$7:$G$29,$A8,Inflows!$K$7:$K$29,AR$6),SUMIFS('Sales Plan'!$H$7:$H$42,'Sales Plan'!$A$7:$A$42,$A8,'Sales Plan'!$C$7:$C$42,AR$6))</f>
        <v>0</v>
      </c>
      <c r="AS8" s="33">
        <f>IF(AS$5="Actual",SUMIFS(Inflows!$J$7:$J$29,Inflows!$G$7:$G$29,$A8,Inflows!$K$7:$K$29,AS$6),SUMIFS('Sales Plan'!$H$7:$H$42,'Sales Plan'!$A$7:$A$42,$A8,'Sales Plan'!$C$7:$C$42,AS$6))</f>
        <v>0</v>
      </c>
      <c r="AT8" s="33">
        <f>IF(AT$5="Actual",SUMIFS(Inflows!$J$7:$J$29,Inflows!$G$7:$G$29,$A8,Inflows!$K$7:$K$29,AT$6),SUMIFS('Sales Plan'!$H$7:$H$42,'Sales Plan'!$A$7:$A$42,$A8,'Sales Plan'!$C$7:$C$42,AT$6))</f>
        <v>0</v>
      </c>
      <c r="AU8" s="33">
        <f>IF(AU$5="Actual",SUMIFS(Inflows!$J$7:$J$29,Inflows!$G$7:$G$29,$A8,Inflows!$K$7:$K$29,AU$6),SUMIFS('Sales Plan'!$H$7:$H$42,'Sales Plan'!$A$7:$A$42,$A8,'Sales Plan'!$C$7:$C$42,AU$6))</f>
        <v>0</v>
      </c>
      <c r="AV8" s="33">
        <f>IF(AV$5="Actual",SUMIFS(Inflows!$J$7:$J$29,Inflows!$G$7:$G$29,$A8,Inflows!$K$7:$K$29,AV$6),SUMIFS('Sales Plan'!$H$7:$H$42,'Sales Plan'!$A$7:$A$42,$A8,'Sales Plan'!$C$7:$C$42,AV$6))</f>
        <v>532802.00000000012</v>
      </c>
      <c r="AW8" s="33">
        <f>IF(AW$5="Actual",SUMIFS(Inflows!$J$7:$J$29,Inflows!$G$7:$G$29,$A8,Inflows!$K$7:$K$29,AW$6),SUMIFS('Sales Plan'!$H$7:$H$42,'Sales Plan'!$A$7:$A$42,$A8,'Sales Plan'!$C$7:$C$42,AW$6))</f>
        <v>0</v>
      </c>
      <c r="AX8" s="33">
        <f>IF(AX$5="Actual",SUMIFS(Inflows!$J$7:$J$29,Inflows!$G$7:$G$29,$A8,Inflows!$K$7:$K$29,AX$6),SUMIFS('Sales Plan'!$H$7:$H$42,'Sales Plan'!$A$7:$A$42,$A8,'Sales Plan'!$C$7:$C$42,AX$6))</f>
        <v>0</v>
      </c>
      <c r="AY8" s="33">
        <f>IF(AY$5="Actual",SUMIFS(Inflows!$J$7:$J$29,Inflows!$G$7:$G$29,$A8,Inflows!$K$7:$K$29,AY$6),SUMIFS('Sales Plan'!$H$7:$H$42,'Sales Plan'!$A$7:$A$42,$A8,'Sales Plan'!$C$7:$C$42,AY$6))</f>
        <v>0</v>
      </c>
      <c r="AZ8" s="33">
        <f>IF(AZ$5="Actual",SUMIFS(Inflows!$J$7:$J$29,Inflows!$G$7:$G$29,$A8,Inflows!$K$7:$K$29,AZ$6),SUMIFS('Sales Plan'!$H$7:$H$42,'Sales Plan'!$A$7:$A$42,$A8,'Sales Plan'!$C$7:$C$42,AZ$6))</f>
        <v>0</v>
      </c>
      <c r="BA8" s="33">
        <f>IF(BA$5="Actual",SUMIFS(Inflows!$J$7:$J$29,Inflows!$G$7:$G$29,$A8,Inflows!$K$7:$K$29,BA$6),SUMIFS('Sales Plan'!$H$7:$H$42,'Sales Plan'!$A$7:$A$42,$A8,'Sales Plan'!$C$7:$C$42,BA$6))</f>
        <v>0</v>
      </c>
    </row>
    <row r="9" spans="1:53">
      <c r="A9" s="6" t="s">
        <v>133</v>
      </c>
      <c r="B9" s="35">
        <f>INDEX(Villas!$M$6:$M$14,MATCH(A9,Villas!$C$6:$C$14,0))</f>
        <v>3297257.2795843352</v>
      </c>
      <c r="C9" s="35">
        <f>SUMIFS(Inflows!$J$7:$J$29,Inflows!$G$7:$G$29,A9,Inflows!$B$7:$B$29,"&lt;="&amp;Inputs!$B$11)</f>
        <v>0</v>
      </c>
      <c r="D9" s="35">
        <f>MAX(B9-C9,0)</f>
        <v>3297257.2795843352</v>
      </c>
      <c r="E9" s="61">
        <f>_xlfn.MINIFS('Sales Plan'!$C$7:$C$42,'Sales Plan'!$A$7:$A$42,A9)</f>
        <v>45292</v>
      </c>
      <c r="F9" s="60">
        <f>_xlfn.MAXIFS('Sales Plan'!$C$7:$C$42,'Sales Plan'!$A$7:$A$42,A9)</f>
        <v>45839</v>
      </c>
      <c r="G9" s="35">
        <f>IF(G$5="Actual",SUMIFS(Inflows!$J$7:$J$29,Inflows!$G$7:$G$29,$A9,Inflows!$K$7:$K$29,G$6),SUMIFS('Sales Plan'!$H$7:$H$42,'Sales Plan'!$A$7:$A$42,$A9,'Sales Plan'!$C$7:$C$42,G$6))</f>
        <v>0</v>
      </c>
      <c r="H9" s="35">
        <f>IF(H$5="Actual",SUMIFS(Inflows!$J$7:$J$29,Inflows!$G$7:$G$29,$A9,Inflows!$K$7:$K$29,H$6),SUMIFS('Sales Plan'!$H$7:$H$42,'Sales Plan'!$A$7:$A$42,$A9,'Sales Plan'!$C$7:$C$42,H$6))</f>
        <v>0</v>
      </c>
      <c r="I9" s="35">
        <f>IF(I$5="Actual",SUMIFS(Inflows!$J$7:$J$29,Inflows!$G$7:$G$29,$A9,Inflows!$K$7:$K$29,I$6),SUMIFS('Sales Plan'!$H$7:$H$42,'Sales Plan'!$A$7:$A$42,$A9,'Sales Plan'!$C$7:$C$42,I$6))</f>
        <v>0</v>
      </c>
      <c r="J9" s="35">
        <f>IF(J$5="Actual",SUMIFS(Inflows!$J$7:$J$29,Inflows!$G$7:$G$29,$A9,Inflows!$K$7:$K$29,J$6),SUMIFS('Sales Plan'!$H$7:$H$42,'Sales Plan'!$A$7:$A$42,$A9,'Sales Plan'!$C$7:$C$42,J$6))</f>
        <v>0</v>
      </c>
      <c r="K9" s="35">
        <f>IF(K$5="Actual",SUMIFS(Inflows!$J$7:$J$29,Inflows!$G$7:$G$29,$A9,Inflows!$K$7:$K$29,K$6),SUMIFS('Sales Plan'!$H$7:$H$42,'Sales Plan'!$A$7:$A$42,$A9,'Sales Plan'!$C$7:$C$42,K$6))</f>
        <v>0</v>
      </c>
      <c r="L9" s="35">
        <f>IF(L$5="Actual",SUMIFS(Inflows!$J$7:$J$29,Inflows!$G$7:$G$29,$A9,Inflows!$K$7:$K$29,L$6),SUMIFS('Sales Plan'!$H$7:$H$42,'Sales Plan'!$A$7:$A$42,$A9,'Sales Plan'!$C$7:$C$42,L$6))</f>
        <v>0</v>
      </c>
      <c r="M9" s="35">
        <f>IF(M$5="Actual",SUMIFS(Inflows!$J$7:$J$29,Inflows!$G$7:$G$29,$A9,Inflows!$K$7:$K$29,M$6),SUMIFS('Sales Plan'!$H$7:$H$42,'Sales Plan'!$A$7:$A$42,$A9,'Sales Plan'!$C$7:$C$42,M$6))</f>
        <v>0</v>
      </c>
      <c r="N9" s="35">
        <f>IF(N$5="Actual",SUMIFS(Inflows!$J$7:$J$29,Inflows!$G$7:$G$29,$A9,Inflows!$K$7:$K$29,N$6),SUMIFS('Sales Plan'!$H$7:$H$42,'Sales Plan'!$A$7:$A$42,$A9,'Sales Plan'!$C$7:$C$42,N$6))</f>
        <v>0</v>
      </c>
      <c r="O9" s="35">
        <f>IF(O$5="Actual",SUMIFS(Inflows!$J$7:$J$29,Inflows!$G$7:$G$29,$A9,Inflows!$K$7:$K$29,O$6),SUMIFS('Sales Plan'!$H$7:$H$42,'Sales Plan'!$A$7:$A$42,$A9,'Sales Plan'!$C$7:$C$42,O$6))</f>
        <v>0</v>
      </c>
      <c r="P9" s="35">
        <f>IF(P$5="Actual",SUMIFS(Inflows!$J$7:$J$29,Inflows!$G$7:$G$29,$A9,Inflows!$K$7:$K$29,P$6),SUMIFS('Sales Plan'!$H$7:$H$42,'Sales Plan'!$A$7:$A$42,$A9,'Sales Plan'!$C$7:$C$42,P$6))</f>
        <v>0</v>
      </c>
      <c r="Q9" s="35">
        <f>IF(Q$5="Actual",SUMIFS(Inflows!$J$7:$J$29,Inflows!$G$7:$G$29,$A9,Inflows!$K$7:$K$29,Q$6),SUMIFS('Sales Plan'!$H$7:$H$42,'Sales Plan'!$A$7:$A$42,$A9,'Sales Plan'!$C$7:$C$42,Q$6))</f>
        <v>0</v>
      </c>
      <c r="R9" s="35">
        <f>IF(R$5="Actual",SUMIFS(Inflows!$J$7:$J$29,Inflows!$G$7:$G$29,$A9,Inflows!$K$7:$K$29,R$6),SUMIFS('Sales Plan'!$H$7:$H$42,'Sales Plan'!$A$7:$A$42,$A9,'Sales Plan'!$C$7:$C$42,R$6))</f>
        <v>0</v>
      </c>
      <c r="S9" s="35">
        <f>IF(S$5="Actual",SUMIFS(Inflows!$J$7:$J$29,Inflows!$G$7:$G$29,$A9,Inflows!$K$7:$K$29,S$6),SUMIFS('Sales Plan'!$H$7:$H$42,'Sales Plan'!$A$7:$A$42,$A9,'Sales Plan'!$C$7:$C$42,S$6))</f>
        <v>0</v>
      </c>
      <c r="T9" s="35">
        <f>IF(T$5="Actual",SUMIFS(Inflows!$J$7:$J$29,Inflows!$G$7:$G$29,$A9,Inflows!$K$7:$K$29,T$6),SUMIFS('Sales Plan'!$H$7:$H$42,'Sales Plan'!$A$7:$A$42,$A9,'Sales Plan'!$C$7:$C$42,T$6))</f>
        <v>0</v>
      </c>
      <c r="U9" s="35">
        <f>IF(U$5="Actual",SUMIFS(Inflows!$J$7:$J$29,Inflows!$G$7:$G$29,$A9,Inflows!$K$7:$K$29,U$6),SUMIFS('Sales Plan'!$H$7:$H$42,'Sales Plan'!$A$7:$A$42,$A9,'Sales Plan'!$C$7:$C$42,U$6))</f>
        <v>0</v>
      </c>
      <c r="V9" s="35">
        <f>IF(V$5="Actual",SUMIFS(Inflows!$J$7:$J$29,Inflows!$G$7:$G$29,$A9,Inflows!$K$7:$K$29,V$6),SUMIFS('Sales Plan'!$H$7:$H$42,'Sales Plan'!$A$7:$A$42,$A9,'Sales Plan'!$C$7:$C$42,V$6))</f>
        <v>0</v>
      </c>
      <c r="W9" s="35">
        <f>IF(W$5="Actual",SUMIFS(Inflows!$J$7:$J$29,Inflows!$G$7:$G$29,$A9,Inflows!$K$7:$K$29,W$6),SUMIFS('Sales Plan'!$H$7:$H$42,'Sales Plan'!$A$7:$A$42,$A9,'Sales Plan'!$C$7:$C$42,W$6))</f>
        <v>0</v>
      </c>
      <c r="X9" s="35">
        <f>IF(X$5="Actual",SUMIFS(Inflows!$J$7:$J$29,Inflows!$G$7:$G$29,$A9,Inflows!$K$7:$K$29,X$6),SUMIFS('Sales Plan'!$H$7:$H$42,'Sales Plan'!$A$7:$A$42,$A9,'Sales Plan'!$C$7:$C$42,X$6))</f>
        <v>0</v>
      </c>
      <c r="Y9" s="35">
        <f>IF(Y$5="Actual",SUMIFS(Inflows!$J$7:$J$29,Inflows!$G$7:$G$29,$A9,Inflows!$K$7:$K$29,Y$6),SUMIFS('Sales Plan'!$H$7:$H$42,'Sales Plan'!$A$7:$A$42,$A9,'Sales Plan'!$C$7:$C$42,Y$6))</f>
        <v>0</v>
      </c>
      <c r="Z9" s="35">
        <f>IF(Z$5="Actual",SUMIFS(Inflows!$J$7:$J$29,Inflows!$G$7:$G$29,$A9,Inflows!$K$7:$K$29,Z$6),SUMIFS('Sales Plan'!$H$7:$H$42,'Sales Plan'!$A$7:$A$42,$A9,'Sales Plan'!$C$7:$C$42,Z$6))</f>
        <v>0</v>
      </c>
      <c r="AA9" s="35">
        <f>IF(AA$5="Actual",SUMIFS(Inflows!$J$7:$J$29,Inflows!$G$7:$G$29,$A9,Inflows!$K$7:$K$29,AA$6),SUMIFS('Sales Plan'!$H$7:$H$42,'Sales Plan'!$A$7:$A$42,$A9,'Sales Plan'!$C$7:$C$42,AA$6))</f>
        <v>0</v>
      </c>
      <c r="AB9" s="35">
        <f>IF(AB$5="Actual",SUMIFS(Inflows!$J$7:$J$29,Inflows!$G$7:$G$29,$A9,Inflows!$K$7:$K$29,AB$6),SUMIFS('Sales Plan'!$H$7:$H$42,'Sales Plan'!$A$7:$A$42,$A9,'Sales Plan'!$C$7:$C$42,AB$6))</f>
        <v>0</v>
      </c>
      <c r="AC9" s="35">
        <f>IF(AC$5="Actual",SUMIFS(Inflows!$J$7:$J$29,Inflows!$G$7:$G$29,$A9,Inflows!$K$7:$K$29,AC$6),SUMIFS('Sales Plan'!$H$7:$H$42,'Sales Plan'!$A$7:$A$42,$A9,'Sales Plan'!$C$7:$C$42,AC$6))</f>
        <v>0</v>
      </c>
      <c r="AD9" s="35">
        <f>IF(AD$5="Actual",SUMIFS(Inflows!$J$7:$J$29,Inflows!$G$7:$G$29,$A9,Inflows!$K$7:$K$29,AD$6),SUMIFS('Sales Plan'!$H$7:$H$42,'Sales Plan'!$A$7:$A$42,$A9,'Sales Plan'!$C$7:$C$42,AD$6))</f>
        <v>989177.18387530046</v>
      </c>
      <c r="AE9" s="35">
        <f>IF(AE$5="Actual",SUMIFS(Inflows!$J$7:$J$29,Inflows!$G$7:$G$29,$A9,Inflows!$K$7:$K$29,AE$6),SUMIFS('Sales Plan'!$H$7:$H$42,'Sales Plan'!$A$7:$A$42,$A9,'Sales Plan'!$C$7:$C$42,AE$6))</f>
        <v>0</v>
      </c>
      <c r="AF9" s="35">
        <f>IF(AF$5="Actual",SUMIFS(Inflows!$J$7:$J$29,Inflows!$G$7:$G$29,$A9,Inflows!$K$7:$K$29,AF$6),SUMIFS('Sales Plan'!$H$7:$H$42,'Sales Plan'!$A$7:$A$42,$A9,'Sales Plan'!$C$7:$C$42,AF$6))</f>
        <v>0</v>
      </c>
      <c r="AG9" s="35">
        <f>IF(AG$5="Actual",SUMIFS(Inflows!$J$7:$J$29,Inflows!$G$7:$G$29,$A9,Inflows!$K$7:$K$29,AG$6),SUMIFS('Sales Plan'!$H$7:$H$42,'Sales Plan'!$A$7:$A$42,$A9,'Sales Plan'!$C$7:$C$42,AG$6))</f>
        <v>0</v>
      </c>
      <c r="AH9" s="35">
        <f>IF(AH$5="Actual",SUMIFS(Inflows!$J$7:$J$29,Inflows!$G$7:$G$29,$A9,Inflows!$K$7:$K$29,AH$6),SUMIFS('Sales Plan'!$H$7:$H$42,'Sales Plan'!$A$7:$A$42,$A9,'Sales Plan'!$C$7:$C$42,AH$6))</f>
        <v>0</v>
      </c>
      <c r="AI9" s="35">
        <f>IF(AI$5="Actual",SUMIFS(Inflows!$J$7:$J$29,Inflows!$G$7:$G$29,$A9,Inflows!$K$7:$K$29,AI$6),SUMIFS('Sales Plan'!$H$7:$H$42,'Sales Plan'!$A$7:$A$42,$A9,'Sales Plan'!$C$7:$C$42,AI$6))</f>
        <v>0</v>
      </c>
      <c r="AJ9" s="35">
        <f>IF(AJ$5="Actual",SUMIFS(Inflows!$J$7:$J$29,Inflows!$G$7:$G$29,$A9,Inflows!$K$7:$K$29,AJ$6),SUMIFS('Sales Plan'!$H$7:$H$42,'Sales Plan'!$A$7:$A$42,$A9,'Sales Plan'!$C$7:$C$42,AJ$6))</f>
        <v>659451.45591686713</v>
      </c>
      <c r="AK9" s="35">
        <f>IF(AK$5="Actual",SUMIFS(Inflows!$J$7:$J$29,Inflows!$G$7:$G$29,$A9,Inflows!$K$7:$K$29,AK$6),SUMIFS('Sales Plan'!$H$7:$H$42,'Sales Plan'!$A$7:$A$42,$A9,'Sales Plan'!$C$7:$C$42,AK$6))</f>
        <v>0</v>
      </c>
      <c r="AL9" s="35">
        <f>IF(AL$5="Actual",SUMIFS(Inflows!$J$7:$J$29,Inflows!$G$7:$G$29,$A9,Inflows!$K$7:$K$29,AL$6),SUMIFS('Sales Plan'!$H$7:$H$42,'Sales Plan'!$A$7:$A$42,$A9,'Sales Plan'!$C$7:$C$42,AL$6))</f>
        <v>0</v>
      </c>
      <c r="AM9" s="35">
        <f>IF(AM$5="Actual",SUMIFS(Inflows!$J$7:$J$29,Inflows!$G$7:$G$29,$A9,Inflows!$K$7:$K$29,AM$6),SUMIFS('Sales Plan'!$H$7:$H$42,'Sales Plan'!$A$7:$A$42,$A9,'Sales Plan'!$C$7:$C$42,AM$6))</f>
        <v>0</v>
      </c>
      <c r="AN9" s="35">
        <f>IF(AN$5="Actual",SUMIFS(Inflows!$J$7:$J$29,Inflows!$G$7:$G$29,$A9,Inflows!$K$7:$K$29,AN$6),SUMIFS('Sales Plan'!$H$7:$H$42,'Sales Plan'!$A$7:$A$42,$A9,'Sales Plan'!$C$7:$C$42,AN$6))</f>
        <v>0</v>
      </c>
      <c r="AO9" s="35">
        <f>IF(AO$5="Actual",SUMIFS(Inflows!$J$7:$J$29,Inflows!$G$7:$G$29,$A9,Inflows!$K$7:$K$29,AO$6),SUMIFS('Sales Plan'!$H$7:$H$42,'Sales Plan'!$A$7:$A$42,$A9,'Sales Plan'!$C$7:$C$42,AO$6))</f>
        <v>0</v>
      </c>
      <c r="AP9" s="35">
        <f>IF(AP$5="Actual",SUMIFS(Inflows!$J$7:$J$29,Inflows!$G$7:$G$29,$A9,Inflows!$K$7:$K$29,AP$6),SUMIFS('Sales Plan'!$H$7:$H$42,'Sales Plan'!$A$7:$A$42,$A9,'Sales Plan'!$C$7:$C$42,AP$6))</f>
        <v>989177.18387530046</v>
      </c>
      <c r="AQ9" s="35">
        <f>IF(AQ$5="Actual",SUMIFS(Inflows!$J$7:$J$29,Inflows!$G$7:$G$29,$A9,Inflows!$K$7:$K$29,AQ$6),SUMIFS('Sales Plan'!$H$7:$H$42,'Sales Plan'!$A$7:$A$42,$A9,'Sales Plan'!$C$7:$C$42,AQ$6))</f>
        <v>0</v>
      </c>
      <c r="AR9" s="35">
        <f>IF(AR$5="Actual",SUMIFS(Inflows!$J$7:$J$29,Inflows!$G$7:$G$29,$A9,Inflows!$K$7:$K$29,AR$6),SUMIFS('Sales Plan'!$H$7:$H$42,'Sales Plan'!$A$7:$A$42,$A9,'Sales Plan'!$C$7:$C$42,AR$6))</f>
        <v>0</v>
      </c>
      <c r="AS9" s="35">
        <f>IF(AS$5="Actual",SUMIFS(Inflows!$J$7:$J$29,Inflows!$G$7:$G$29,$A9,Inflows!$K$7:$K$29,AS$6),SUMIFS('Sales Plan'!$H$7:$H$42,'Sales Plan'!$A$7:$A$42,$A9,'Sales Plan'!$C$7:$C$42,AS$6))</f>
        <v>0</v>
      </c>
      <c r="AT9" s="35">
        <f>IF(AT$5="Actual",SUMIFS(Inflows!$J$7:$J$29,Inflows!$G$7:$G$29,$A9,Inflows!$K$7:$K$29,AT$6),SUMIFS('Sales Plan'!$H$7:$H$42,'Sales Plan'!$A$7:$A$42,$A9,'Sales Plan'!$C$7:$C$42,AT$6))</f>
        <v>0</v>
      </c>
      <c r="AU9" s="35">
        <f>IF(AU$5="Actual",SUMIFS(Inflows!$J$7:$J$29,Inflows!$G$7:$G$29,$A9,Inflows!$K$7:$K$29,AU$6),SUMIFS('Sales Plan'!$H$7:$H$42,'Sales Plan'!$A$7:$A$42,$A9,'Sales Plan'!$C$7:$C$42,AU$6))</f>
        <v>0</v>
      </c>
      <c r="AV9" s="35">
        <f>IF(AV$5="Actual",SUMIFS(Inflows!$J$7:$J$29,Inflows!$G$7:$G$29,$A9,Inflows!$K$7:$K$29,AV$6),SUMIFS('Sales Plan'!$H$7:$H$42,'Sales Plan'!$A$7:$A$42,$A9,'Sales Plan'!$C$7:$C$42,AV$6))</f>
        <v>659451.45591686713</v>
      </c>
      <c r="AW9" s="35">
        <f>IF(AW$5="Actual",SUMIFS(Inflows!$J$7:$J$29,Inflows!$G$7:$G$29,$A9,Inflows!$K$7:$K$29,AW$6),SUMIFS('Sales Plan'!$H$7:$H$42,'Sales Plan'!$A$7:$A$42,$A9,'Sales Plan'!$C$7:$C$42,AW$6))</f>
        <v>0</v>
      </c>
      <c r="AX9" s="35">
        <f>IF(AX$5="Actual",SUMIFS(Inflows!$J$7:$J$29,Inflows!$G$7:$G$29,$A9,Inflows!$K$7:$K$29,AX$6),SUMIFS('Sales Plan'!$H$7:$H$42,'Sales Plan'!$A$7:$A$42,$A9,'Sales Plan'!$C$7:$C$42,AX$6))</f>
        <v>0</v>
      </c>
      <c r="AY9" s="35">
        <f>IF(AY$5="Actual",SUMIFS(Inflows!$J$7:$J$29,Inflows!$G$7:$G$29,$A9,Inflows!$K$7:$K$29,AY$6),SUMIFS('Sales Plan'!$H$7:$H$42,'Sales Plan'!$A$7:$A$42,$A9,'Sales Plan'!$C$7:$C$42,AY$6))</f>
        <v>0</v>
      </c>
      <c r="AZ9" s="35">
        <f>IF(AZ$5="Actual",SUMIFS(Inflows!$J$7:$J$29,Inflows!$G$7:$G$29,$A9,Inflows!$K$7:$K$29,AZ$6),SUMIFS('Sales Plan'!$H$7:$H$42,'Sales Plan'!$A$7:$A$42,$A9,'Sales Plan'!$C$7:$C$42,AZ$6))</f>
        <v>0</v>
      </c>
      <c r="BA9" s="35">
        <f>IF(BA$5="Actual",SUMIFS(Inflows!$J$7:$J$29,Inflows!$G$7:$G$29,$A9,Inflows!$K$7:$K$29,BA$6),SUMIFS('Sales Plan'!$H$7:$H$42,'Sales Plan'!$A$7:$A$42,$A9,'Sales Plan'!$C$7:$C$42,BA$6))</f>
        <v>0</v>
      </c>
    </row>
    <row r="10" spans="1:53">
      <c r="A10" s="6" t="s">
        <v>134</v>
      </c>
      <c r="B10" s="35">
        <f>INDEX(Villas!$M$6:$M$14,MATCH(A10,Villas!$C$6:$C$14,0))</f>
        <v>2941500.0000000005</v>
      </c>
      <c r="C10" s="35">
        <f>SUMIFS(Inflows!$J$7:$J$29,Inflows!$G$7:$G$29,A10,Inflows!$B$7:$B$29,"&lt;="&amp;Inputs!$B$11)</f>
        <v>0</v>
      </c>
      <c r="D10" s="35">
        <f>MAX(B10-C10,0)</f>
        <v>2941500.0000000005</v>
      </c>
      <c r="E10" s="61">
        <f>_xlfn.MINIFS('Sales Plan'!$C$7:$C$42,'Sales Plan'!$A$7:$A$42,A10)</f>
        <v>45292</v>
      </c>
      <c r="F10" s="60">
        <f>_xlfn.MAXIFS('Sales Plan'!$C$7:$C$42,'Sales Plan'!$A$7:$A$42,A10)</f>
        <v>45839</v>
      </c>
      <c r="G10" s="35">
        <f>IF(G$5="Actual",SUMIFS(Inflows!$J$7:$J$29,Inflows!$G$7:$G$29,$A10,Inflows!$K$7:$K$29,G$6),SUMIFS('Sales Plan'!$H$7:$H$42,'Sales Plan'!$A$7:$A$42,$A10,'Sales Plan'!$C$7:$C$42,G$6))</f>
        <v>0</v>
      </c>
      <c r="H10" s="35">
        <f>IF(H$5="Actual",SUMIFS(Inflows!$J$7:$J$29,Inflows!$G$7:$G$29,$A10,Inflows!$K$7:$K$29,H$6),SUMIFS('Sales Plan'!$H$7:$H$42,'Sales Plan'!$A$7:$A$42,$A10,'Sales Plan'!$C$7:$C$42,H$6))</f>
        <v>0</v>
      </c>
      <c r="I10" s="35">
        <f>IF(I$5="Actual",SUMIFS(Inflows!$J$7:$J$29,Inflows!$G$7:$G$29,$A10,Inflows!$K$7:$K$29,I$6),SUMIFS('Sales Plan'!$H$7:$H$42,'Sales Plan'!$A$7:$A$42,$A10,'Sales Plan'!$C$7:$C$42,I$6))</f>
        <v>0</v>
      </c>
      <c r="J10" s="35">
        <f>IF(J$5="Actual",SUMIFS(Inflows!$J$7:$J$29,Inflows!$G$7:$G$29,$A10,Inflows!$K$7:$K$29,J$6),SUMIFS('Sales Plan'!$H$7:$H$42,'Sales Plan'!$A$7:$A$42,$A10,'Sales Plan'!$C$7:$C$42,J$6))</f>
        <v>0</v>
      </c>
      <c r="K10" s="35">
        <f>IF(K$5="Actual",SUMIFS(Inflows!$J$7:$J$29,Inflows!$G$7:$G$29,$A10,Inflows!$K$7:$K$29,K$6),SUMIFS('Sales Plan'!$H$7:$H$42,'Sales Plan'!$A$7:$A$42,$A10,'Sales Plan'!$C$7:$C$42,K$6))</f>
        <v>0</v>
      </c>
      <c r="L10" s="35">
        <f>IF(L$5="Actual",SUMIFS(Inflows!$J$7:$J$29,Inflows!$G$7:$G$29,$A10,Inflows!$K$7:$K$29,L$6),SUMIFS('Sales Plan'!$H$7:$H$42,'Sales Plan'!$A$7:$A$42,$A10,'Sales Plan'!$C$7:$C$42,L$6))</f>
        <v>0</v>
      </c>
      <c r="M10" s="35">
        <f>IF(M$5="Actual",SUMIFS(Inflows!$J$7:$J$29,Inflows!$G$7:$G$29,$A10,Inflows!$K$7:$K$29,M$6),SUMIFS('Sales Plan'!$H$7:$H$42,'Sales Plan'!$A$7:$A$42,$A10,'Sales Plan'!$C$7:$C$42,M$6))</f>
        <v>0</v>
      </c>
      <c r="N10" s="35">
        <f>IF(N$5="Actual",SUMIFS(Inflows!$J$7:$J$29,Inflows!$G$7:$G$29,$A10,Inflows!$K$7:$K$29,N$6),SUMIFS('Sales Plan'!$H$7:$H$42,'Sales Plan'!$A$7:$A$42,$A10,'Sales Plan'!$C$7:$C$42,N$6))</f>
        <v>0</v>
      </c>
      <c r="O10" s="35">
        <f>IF(O$5="Actual",SUMIFS(Inflows!$J$7:$J$29,Inflows!$G$7:$G$29,$A10,Inflows!$K$7:$K$29,O$6),SUMIFS('Sales Plan'!$H$7:$H$42,'Sales Plan'!$A$7:$A$42,$A10,'Sales Plan'!$C$7:$C$42,O$6))</f>
        <v>0</v>
      </c>
      <c r="P10" s="35">
        <f>IF(P$5="Actual",SUMIFS(Inflows!$J$7:$J$29,Inflows!$G$7:$G$29,$A10,Inflows!$K$7:$K$29,P$6),SUMIFS('Sales Plan'!$H$7:$H$42,'Sales Plan'!$A$7:$A$42,$A10,'Sales Plan'!$C$7:$C$42,P$6))</f>
        <v>0</v>
      </c>
      <c r="Q10" s="35">
        <f>IF(Q$5="Actual",SUMIFS(Inflows!$J$7:$J$29,Inflows!$G$7:$G$29,$A10,Inflows!$K$7:$K$29,Q$6),SUMIFS('Sales Plan'!$H$7:$H$42,'Sales Plan'!$A$7:$A$42,$A10,'Sales Plan'!$C$7:$C$42,Q$6))</f>
        <v>0</v>
      </c>
      <c r="R10" s="35">
        <f>IF(R$5="Actual",SUMIFS(Inflows!$J$7:$J$29,Inflows!$G$7:$G$29,$A10,Inflows!$K$7:$K$29,R$6),SUMIFS('Sales Plan'!$H$7:$H$42,'Sales Plan'!$A$7:$A$42,$A10,'Sales Plan'!$C$7:$C$42,R$6))</f>
        <v>0</v>
      </c>
      <c r="S10" s="35">
        <f>IF(S$5="Actual",SUMIFS(Inflows!$J$7:$J$29,Inflows!$G$7:$G$29,$A10,Inflows!$K$7:$K$29,S$6),SUMIFS('Sales Plan'!$H$7:$H$42,'Sales Plan'!$A$7:$A$42,$A10,'Sales Plan'!$C$7:$C$42,S$6))</f>
        <v>0</v>
      </c>
      <c r="T10" s="35">
        <f>IF(T$5="Actual",SUMIFS(Inflows!$J$7:$J$29,Inflows!$G$7:$G$29,$A10,Inflows!$K$7:$K$29,T$6),SUMIFS('Sales Plan'!$H$7:$H$42,'Sales Plan'!$A$7:$A$42,$A10,'Sales Plan'!$C$7:$C$42,T$6))</f>
        <v>0</v>
      </c>
      <c r="U10" s="35">
        <f>IF(U$5="Actual",SUMIFS(Inflows!$J$7:$J$29,Inflows!$G$7:$G$29,$A10,Inflows!$K$7:$K$29,U$6),SUMIFS('Sales Plan'!$H$7:$H$42,'Sales Plan'!$A$7:$A$42,$A10,'Sales Plan'!$C$7:$C$42,U$6))</f>
        <v>0</v>
      </c>
      <c r="V10" s="35">
        <f>IF(V$5="Actual",SUMIFS(Inflows!$J$7:$J$29,Inflows!$G$7:$G$29,$A10,Inflows!$K$7:$K$29,V$6),SUMIFS('Sales Plan'!$H$7:$H$42,'Sales Plan'!$A$7:$A$42,$A10,'Sales Plan'!$C$7:$C$42,V$6))</f>
        <v>0</v>
      </c>
      <c r="W10" s="35">
        <f>IF(W$5="Actual",SUMIFS(Inflows!$J$7:$J$29,Inflows!$G$7:$G$29,$A10,Inflows!$K$7:$K$29,W$6),SUMIFS('Sales Plan'!$H$7:$H$42,'Sales Plan'!$A$7:$A$42,$A10,'Sales Plan'!$C$7:$C$42,W$6))</f>
        <v>0</v>
      </c>
      <c r="X10" s="35">
        <f>IF(X$5="Actual",SUMIFS(Inflows!$J$7:$J$29,Inflows!$G$7:$G$29,$A10,Inflows!$K$7:$K$29,X$6),SUMIFS('Sales Plan'!$H$7:$H$42,'Sales Plan'!$A$7:$A$42,$A10,'Sales Plan'!$C$7:$C$42,X$6))</f>
        <v>0</v>
      </c>
      <c r="Y10" s="35">
        <f>IF(Y$5="Actual",SUMIFS(Inflows!$J$7:$J$29,Inflows!$G$7:$G$29,$A10,Inflows!$K$7:$K$29,Y$6),SUMIFS('Sales Plan'!$H$7:$H$42,'Sales Plan'!$A$7:$A$42,$A10,'Sales Plan'!$C$7:$C$42,Y$6))</f>
        <v>0</v>
      </c>
      <c r="Z10" s="35">
        <f>IF(Z$5="Actual",SUMIFS(Inflows!$J$7:$J$29,Inflows!$G$7:$G$29,$A10,Inflows!$K$7:$K$29,Z$6),SUMIFS('Sales Plan'!$H$7:$H$42,'Sales Plan'!$A$7:$A$42,$A10,'Sales Plan'!$C$7:$C$42,Z$6))</f>
        <v>0</v>
      </c>
      <c r="AA10" s="35">
        <f>IF(AA$5="Actual",SUMIFS(Inflows!$J$7:$J$29,Inflows!$G$7:$G$29,$A10,Inflows!$K$7:$K$29,AA$6),SUMIFS('Sales Plan'!$H$7:$H$42,'Sales Plan'!$A$7:$A$42,$A10,'Sales Plan'!$C$7:$C$42,AA$6))</f>
        <v>0</v>
      </c>
      <c r="AB10" s="35">
        <f>IF(AB$5="Actual",SUMIFS(Inflows!$J$7:$J$29,Inflows!$G$7:$G$29,$A10,Inflows!$K$7:$K$29,AB$6),SUMIFS('Sales Plan'!$H$7:$H$42,'Sales Plan'!$A$7:$A$42,$A10,'Sales Plan'!$C$7:$C$42,AB$6))</f>
        <v>0</v>
      </c>
      <c r="AC10" s="35">
        <f>IF(AC$5="Actual",SUMIFS(Inflows!$J$7:$J$29,Inflows!$G$7:$G$29,$A10,Inflows!$K$7:$K$29,AC$6),SUMIFS('Sales Plan'!$H$7:$H$42,'Sales Plan'!$A$7:$A$42,$A10,'Sales Plan'!$C$7:$C$42,AC$6))</f>
        <v>0</v>
      </c>
      <c r="AD10" s="35">
        <f>IF(AD$5="Actual",SUMIFS(Inflows!$J$7:$J$29,Inflows!$G$7:$G$29,$A10,Inflows!$K$7:$K$29,AD$6),SUMIFS('Sales Plan'!$H$7:$H$42,'Sales Plan'!$A$7:$A$42,$A10,'Sales Plan'!$C$7:$C$42,AD$6))</f>
        <v>882450.00000000012</v>
      </c>
      <c r="AE10" s="35">
        <f>IF(AE$5="Actual",SUMIFS(Inflows!$J$7:$J$29,Inflows!$G$7:$G$29,$A10,Inflows!$K$7:$K$29,AE$6),SUMIFS('Sales Plan'!$H$7:$H$42,'Sales Plan'!$A$7:$A$42,$A10,'Sales Plan'!$C$7:$C$42,AE$6))</f>
        <v>0</v>
      </c>
      <c r="AF10" s="35">
        <f>IF(AF$5="Actual",SUMIFS(Inflows!$J$7:$J$29,Inflows!$G$7:$G$29,$A10,Inflows!$K$7:$K$29,AF$6),SUMIFS('Sales Plan'!$H$7:$H$42,'Sales Plan'!$A$7:$A$42,$A10,'Sales Plan'!$C$7:$C$42,AF$6))</f>
        <v>0</v>
      </c>
      <c r="AG10" s="35">
        <f>IF(AG$5="Actual",SUMIFS(Inflows!$J$7:$J$29,Inflows!$G$7:$G$29,$A10,Inflows!$K$7:$K$29,AG$6),SUMIFS('Sales Plan'!$H$7:$H$42,'Sales Plan'!$A$7:$A$42,$A10,'Sales Plan'!$C$7:$C$42,AG$6))</f>
        <v>0</v>
      </c>
      <c r="AH10" s="35">
        <f>IF(AH$5="Actual",SUMIFS(Inflows!$J$7:$J$29,Inflows!$G$7:$G$29,$A10,Inflows!$K$7:$K$29,AH$6),SUMIFS('Sales Plan'!$H$7:$H$42,'Sales Plan'!$A$7:$A$42,$A10,'Sales Plan'!$C$7:$C$42,AH$6))</f>
        <v>0</v>
      </c>
      <c r="AI10" s="35">
        <f>IF(AI$5="Actual",SUMIFS(Inflows!$J$7:$J$29,Inflows!$G$7:$G$29,$A10,Inflows!$K$7:$K$29,AI$6),SUMIFS('Sales Plan'!$H$7:$H$42,'Sales Plan'!$A$7:$A$42,$A10,'Sales Plan'!$C$7:$C$42,AI$6))</f>
        <v>0</v>
      </c>
      <c r="AJ10" s="35">
        <f>IF(AJ$5="Actual",SUMIFS(Inflows!$J$7:$J$29,Inflows!$G$7:$G$29,$A10,Inflows!$K$7:$K$29,AJ$6),SUMIFS('Sales Plan'!$H$7:$H$42,'Sales Plan'!$A$7:$A$42,$A10,'Sales Plan'!$C$7:$C$42,AJ$6))</f>
        <v>588300.00000000012</v>
      </c>
      <c r="AK10" s="35">
        <f>IF(AK$5="Actual",SUMIFS(Inflows!$J$7:$J$29,Inflows!$G$7:$G$29,$A10,Inflows!$K$7:$K$29,AK$6),SUMIFS('Sales Plan'!$H$7:$H$42,'Sales Plan'!$A$7:$A$42,$A10,'Sales Plan'!$C$7:$C$42,AK$6))</f>
        <v>0</v>
      </c>
      <c r="AL10" s="35">
        <f>IF(AL$5="Actual",SUMIFS(Inflows!$J$7:$J$29,Inflows!$G$7:$G$29,$A10,Inflows!$K$7:$K$29,AL$6),SUMIFS('Sales Plan'!$H$7:$H$42,'Sales Plan'!$A$7:$A$42,$A10,'Sales Plan'!$C$7:$C$42,AL$6))</f>
        <v>0</v>
      </c>
      <c r="AM10" s="35">
        <f>IF(AM$5="Actual",SUMIFS(Inflows!$J$7:$J$29,Inflows!$G$7:$G$29,$A10,Inflows!$K$7:$K$29,AM$6),SUMIFS('Sales Plan'!$H$7:$H$42,'Sales Plan'!$A$7:$A$42,$A10,'Sales Plan'!$C$7:$C$42,AM$6))</f>
        <v>0</v>
      </c>
      <c r="AN10" s="35">
        <f>IF(AN$5="Actual",SUMIFS(Inflows!$J$7:$J$29,Inflows!$G$7:$G$29,$A10,Inflows!$K$7:$K$29,AN$6),SUMIFS('Sales Plan'!$H$7:$H$42,'Sales Plan'!$A$7:$A$42,$A10,'Sales Plan'!$C$7:$C$42,AN$6))</f>
        <v>0</v>
      </c>
      <c r="AO10" s="35">
        <f>IF(AO$5="Actual",SUMIFS(Inflows!$J$7:$J$29,Inflows!$G$7:$G$29,$A10,Inflows!$K$7:$K$29,AO$6),SUMIFS('Sales Plan'!$H$7:$H$42,'Sales Plan'!$A$7:$A$42,$A10,'Sales Plan'!$C$7:$C$42,AO$6))</f>
        <v>0</v>
      </c>
      <c r="AP10" s="35">
        <f>IF(AP$5="Actual",SUMIFS(Inflows!$J$7:$J$29,Inflows!$G$7:$G$29,$A10,Inflows!$K$7:$K$29,AP$6),SUMIFS('Sales Plan'!$H$7:$H$42,'Sales Plan'!$A$7:$A$42,$A10,'Sales Plan'!$C$7:$C$42,AP$6))</f>
        <v>882450.00000000012</v>
      </c>
      <c r="AQ10" s="35">
        <f>IF(AQ$5="Actual",SUMIFS(Inflows!$J$7:$J$29,Inflows!$G$7:$G$29,$A10,Inflows!$K$7:$K$29,AQ$6),SUMIFS('Sales Plan'!$H$7:$H$42,'Sales Plan'!$A$7:$A$42,$A10,'Sales Plan'!$C$7:$C$42,AQ$6))</f>
        <v>0</v>
      </c>
      <c r="AR10" s="35">
        <f>IF(AR$5="Actual",SUMIFS(Inflows!$J$7:$J$29,Inflows!$G$7:$G$29,$A10,Inflows!$K$7:$K$29,AR$6),SUMIFS('Sales Plan'!$H$7:$H$42,'Sales Plan'!$A$7:$A$42,$A10,'Sales Plan'!$C$7:$C$42,AR$6))</f>
        <v>0</v>
      </c>
      <c r="AS10" s="35">
        <f>IF(AS$5="Actual",SUMIFS(Inflows!$J$7:$J$29,Inflows!$G$7:$G$29,$A10,Inflows!$K$7:$K$29,AS$6),SUMIFS('Sales Plan'!$H$7:$H$42,'Sales Plan'!$A$7:$A$42,$A10,'Sales Plan'!$C$7:$C$42,AS$6))</f>
        <v>0</v>
      </c>
      <c r="AT10" s="35">
        <f>IF(AT$5="Actual",SUMIFS(Inflows!$J$7:$J$29,Inflows!$G$7:$G$29,$A10,Inflows!$K$7:$K$29,AT$6),SUMIFS('Sales Plan'!$H$7:$H$42,'Sales Plan'!$A$7:$A$42,$A10,'Sales Plan'!$C$7:$C$42,AT$6))</f>
        <v>0</v>
      </c>
      <c r="AU10" s="35">
        <f>IF(AU$5="Actual",SUMIFS(Inflows!$J$7:$J$29,Inflows!$G$7:$G$29,$A10,Inflows!$K$7:$K$29,AU$6),SUMIFS('Sales Plan'!$H$7:$H$42,'Sales Plan'!$A$7:$A$42,$A10,'Sales Plan'!$C$7:$C$42,AU$6))</f>
        <v>0</v>
      </c>
      <c r="AV10" s="35">
        <f>IF(AV$5="Actual",SUMIFS(Inflows!$J$7:$J$29,Inflows!$G$7:$G$29,$A10,Inflows!$K$7:$K$29,AV$6),SUMIFS('Sales Plan'!$H$7:$H$42,'Sales Plan'!$A$7:$A$42,$A10,'Sales Plan'!$C$7:$C$42,AV$6))</f>
        <v>588300.00000000012</v>
      </c>
      <c r="AW10" s="35">
        <f>IF(AW$5="Actual",SUMIFS(Inflows!$J$7:$J$29,Inflows!$G$7:$G$29,$A10,Inflows!$K$7:$K$29,AW$6),SUMIFS('Sales Plan'!$H$7:$H$42,'Sales Plan'!$A$7:$A$42,$A10,'Sales Plan'!$C$7:$C$42,AW$6))</f>
        <v>0</v>
      </c>
      <c r="AX10" s="35">
        <f>IF(AX$5="Actual",SUMIFS(Inflows!$J$7:$J$29,Inflows!$G$7:$G$29,$A10,Inflows!$K$7:$K$29,AX$6),SUMIFS('Sales Plan'!$H$7:$H$42,'Sales Plan'!$A$7:$A$42,$A10,'Sales Plan'!$C$7:$C$42,AX$6))</f>
        <v>0</v>
      </c>
      <c r="AY10" s="35">
        <f>IF(AY$5="Actual",SUMIFS(Inflows!$J$7:$J$29,Inflows!$G$7:$G$29,$A10,Inflows!$K$7:$K$29,AY$6),SUMIFS('Sales Plan'!$H$7:$H$42,'Sales Plan'!$A$7:$A$42,$A10,'Sales Plan'!$C$7:$C$42,AY$6))</f>
        <v>0</v>
      </c>
      <c r="AZ10" s="35">
        <f>IF(AZ$5="Actual",SUMIFS(Inflows!$J$7:$J$29,Inflows!$G$7:$G$29,$A10,Inflows!$K$7:$K$29,AZ$6),SUMIFS('Sales Plan'!$H$7:$H$42,'Sales Plan'!$A$7:$A$42,$A10,'Sales Plan'!$C$7:$C$42,AZ$6))</f>
        <v>0</v>
      </c>
      <c r="BA10" s="35">
        <f>IF(BA$5="Actual",SUMIFS(Inflows!$J$7:$J$29,Inflows!$G$7:$G$29,$A10,Inflows!$K$7:$K$29,BA$6),SUMIFS('Sales Plan'!$H$7:$H$42,'Sales Plan'!$A$7:$A$42,$A10,'Sales Plan'!$C$7:$C$42,BA$6))</f>
        <v>0</v>
      </c>
    </row>
    <row r="11" spans="1:53">
      <c r="A11" s="6" t="s">
        <v>135</v>
      </c>
      <c r="B11" s="35">
        <f>INDEX(Villas!$M$6:$M$14,MATCH(A11,Villas!$C$6:$C$14,0))</f>
        <v>888000.00000000012</v>
      </c>
      <c r="C11" s="35">
        <f>SUMIFS(Inflows!$J$7:$J$29,Inflows!$G$7:$G$29,A11,Inflows!$B$7:$B$29,"&lt;="&amp;Inputs!$B$11)</f>
        <v>388541.8</v>
      </c>
      <c r="D11" s="35">
        <f>MAX(B11-C11,0)</f>
        <v>499458.20000000013</v>
      </c>
      <c r="E11" s="61">
        <f>_xlfn.MINIFS('Sales Plan'!$C$7:$C$42,'Sales Plan'!$A$7:$A$42,A11)</f>
        <v>45292</v>
      </c>
      <c r="F11" s="60">
        <f>_xlfn.MAXIFS('Sales Plan'!$C$7:$C$42,'Sales Plan'!$A$7:$A$42,A11)</f>
        <v>45839</v>
      </c>
      <c r="G11" s="35">
        <f>IF(G$5="Actual",SUMIFS(Inflows!$J$7:$J$29,Inflows!$G$7:$G$29,$A11,Inflows!$K$7:$K$29,G$6),SUMIFS('Sales Plan'!$H$7:$H$42,'Sales Plan'!$A$7:$A$42,$A11,'Sales Plan'!$C$7:$C$42,G$6))</f>
        <v>0</v>
      </c>
      <c r="H11" s="35">
        <f>IF(H$5="Actual",SUMIFS(Inflows!$J$7:$J$29,Inflows!$G$7:$G$29,$A11,Inflows!$K$7:$K$29,H$6),SUMIFS('Sales Plan'!$H$7:$H$42,'Sales Plan'!$A$7:$A$42,$A11,'Sales Plan'!$C$7:$C$42,H$6))</f>
        <v>0</v>
      </c>
      <c r="I11" s="35">
        <f>IF(I$5="Actual",SUMIFS(Inflows!$J$7:$J$29,Inflows!$G$7:$G$29,$A11,Inflows!$K$7:$K$29,I$6),SUMIFS('Sales Plan'!$H$7:$H$42,'Sales Plan'!$A$7:$A$42,$A11,'Sales Plan'!$C$7:$C$42,I$6))</f>
        <v>0</v>
      </c>
      <c r="J11" s="35">
        <f>IF(J$5="Actual",SUMIFS(Inflows!$J$7:$J$29,Inflows!$G$7:$G$29,$A11,Inflows!$K$7:$K$29,J$6),SUMIFS('Sales Plan'!$H$7:$H$42,'Sales Plan'!$A$7:$A$42,$A11,'Sales Plan'!$C$7:$C$42,J$6))</f>
        <v>0</v>
      </c>
      <c r="K11" s="35">
        <f>IF(K$5="Actual",SUMIFS(Inflows!$J$7:$J$29,Inflows!$G$7:$G$29,$A11,Inflows!$K$7:$K$29,K$6),SUMIFS('Sales Plan'!$H$7:$H$42,'Sales Plan'!$A$7:$A$42,$A11,'Sales Plan'!$C$7:$C$42,K$6))</f>
        <v>0</v>
      </c>
      <c r="L11" s="35">
        <f>IF(L$5="Actual",SUMIFS(Inflows!$J$7:$J$29,Inflows!$G$7:$G$29,$A11,Inflows!$K$7:$K$29,L$6),SUMIFS('Sales Plan'!$H$7:$H$42,'Sales Plan'!$A$7:$A$42,$A11,'Sales Plan'!$C$7:$C$42,L$6))</f>
        <v>0</v>
      </c>
      <c r="M11" s="35">
        <f>IF(M$5="Actual",SUMIFS(Inflows!$J$7:$J$29,Inflows!$G$7:$G$29,$A11,Inflows!$K$7:$K$29,M$6),SUMIFS('Sales Plan'!$H$7:$H$42,'Sales Plan'!$A$7:$A$42,$A11,'Sales Plan'!$C$7:$C$42,M$6))</f>
        <v>0</v>
      </c>
      <c r="N11" s="35">
        <f>IF(N$5="Actual",SUMIFS(Inflows!$J$7:$J$29,Inflows!$G$7:$G$29,$A11,Inflows!$K$7:$K$29,N$6),SUMIFS('Sales Plan'!$H$7:$H$42,'Sales Plan'!$A$7:$A$42,$A11,'Sales Plan'!$C$7:$C$42,N$6))</f>
        <v>0</v>
      </c>
      <c r="O11" s="35">
        <f>IF(O$5="Actual",SUMIFS(Inflows!$J$7:$J$29,Inflows!$G$7:$G$29,$A11,Inflows!$K$7:$K$29,O$6),SUMIFS('Sales Plan'!$H$7:$H$42,'Sales Plan'!$A$7:$A$42,$A11,'Sales Plan'!$C$7:$C$42,O$6))</f>
        <v>0</v>
      </c>
      <c r="P11" s="35">
        <f>IF(P$5="Actual",SUMIFS(Inflows!$J$7:$J$29,Inflows!$G$7:$G$29,$A11,Inflows!$K$7:$K$29,P$6),SUMIFS('Sales Plan'!$H$7:$H$42,'Sales Plan'!$A$7:$A$42,$A11,'Sales Plan'!$C$7:$C$42,P$6))</f>
        <v>0</v>
      </c>
      <c r="Q11" s="35">
        <f>IF(Q$5="Actual",SUMIFS(Inflows!$J$7:$J$29,Inflows!$G$7:$G$29,$A11,Inflows!$K$7:$K$29,Q$6),SUMIFS('Sales Plan'!$H$7:$H$42,'Sales Plan'!$A$7:$A$42,$A11,'Sales Plan'!$C$7:$C$42,Q$6))</f>
        <v>0</v>
      </c>
      <c r="R11" s="35">
        <f>IF(R$5="Actual",SUMIFS(Inflows!$J$7:$J$29,Inflows!$G$7:$G$29,$A11,Inflows!$K$7:$K$29,R$6),SUMIFS('Sales Plan'!$H$7:$H$42,'Sales Plan'!$A$7:$A$42,$A11,'Sales Plan'!$C$7:$C$42,R$6))</f>
        <v>0</v>
      </c>
      <c r="S11" s="35">
        <f>IF(S$5="Actual",SUMIFS(Inflows!$J$7:$J$29,Inflows!$G$7:$G$29,$A11,Inflows!$K$7:$K$29,S$6),SUMIFS('Sales Plan'!$H$7:$H$42,'Sales Plan'!$A$7:$A$42,$A11,'Sales Plan'!$C$7:$C$42,S$6))</f>
        <v>0</v>
      </c>
      <c r="T11" s="35">
        <f>IF(T$5="Actual",SUMIFS(Inflows!$J$7:$J$29,Inflows!$G$7:$G$29,$A11,Inflows!$K$7:$K$29,T$6),SUMIFS('Sales Plan'!$H$7:$H$42,'Sales Plan'!$A$7:$A$42,$A11,'Sales Plan'!$C$7:$C$42,T$6))</f>
        <v>0</v>
      </c>
      <c r="U11" s="35">
        <f>IF(U$5="Actual",SUMIFS(Inflows!$J$7:$J$29,Inflows!$G$7:$G$29,$A11,Inflows!$K$7:$K$29,U$6),SUMIFS('Sales Plan'!$H$7:$H$42,'Sales Plan'!$A$7:$A$42,$A11,'Sales Plan'!$C$7:$C$42,U$6))</f>
        <v>0</v>
      </c>
      <c r="V11" s="35">
        <f>IF(V$5="Actual",SUMIFS(Inflows!$J$7:$J$29,Inflows!$G$7:$G$29,$A11,Inflows!$K$7:$K$29,V$6),SUMIFS('Sales Plan'!$H$7:$H$42,'Sales Plan'!$A$7:$A$42,$A11,'Sales Plan'!$C$7:$C$42,V$6))</f>
        <v>0</v>
      </c>
      <c r="W11" s="35">
        <f>IF(W$5="Actual",SUMIFS(Inflows!$J$7:$J$29,Inflows!$G$7:$G$29,$A11,Inflows!$K$7:$K$29,W$6),SUMIFS('Sales Plan'!$H$7:$H$42,'Sales Plan'!$A$7:$A$42,$A11,'Sales Plan'!$C$7:$C$42,W$6))</f>
        <v>0</v>
      </c>
      <c r="X11" s="35">
        <f>IF(X$5="Actual",SUMIFS(Inflows!$J$7:$J$29,Inflows!$G$7:$G$29,$A11,Inflows!$K$7:$K$29,X$6),SUMIFS('Sales Plan'!$H$7:$H$42,'Sales Plan'!$A$7:$A$42,$A11,'Sales Plan'!$C$7:$C$42,X$6))</f>
        <v>0</v>
      </c>
      <c r="Y11" s="35">
        <f>IF(Y$5="Actual",SUMIFS(Inflows!$J$7:$J$29,Inflows!$G$7:$G$29,$A11,Inflows!$K$7:$K$29,Y$6),SUMIFS('Sales Plan'!$H$7:$H$42,'Sales Plan'!$A$7:$A$42,$A11,'Sales Plan'!$C$7:$C$42,Y$6))</f>
        <v>0</v>
      </c>
      <c r="Z11" s="35">
        <f>IF(Z$5="Actual",SUMIFS(Inflows!$J$7:$J$29,Inflows!$G$7:$G$29,$A11,Inflows!$K$7:$K$29,Z$6),SUMIFS('Sales Plan'!$H$7:$H$42,'Sales Plan'!$A$7:$A$42,$A11,'Sales Plan'!$C$7:$C$42,Z$6))</f>
        <v>0</v>
      </c>
      <c r="AA11" s="35">
        <f>IF(AA$5="Actual",SUMIFS(Inflows!$J$7:$J$29,Inflows!$G$7:$G$29,$A11,Inflows!$K$7:$K$29,AA$6),SUMIFS('Sales Plan'!$H$7:$H$42,'Sales Plan'!$A$7:$A$42,$A11,'Sales Plan'!$C$7:$C$42,AA$6))</f>
        <v>0</v>
      </c>
      <c r="AB11" s="35">
        <f>IF(AB$5="Actual",SUMIFS(Inflows!$J$7:$J$29,Inflows!$G$7:$G$29,$A11,Inflows!$K$7:$K$29,AB$6),SUMIFS('Sales Plan'!$H$7:$H$42,'Sales Plan'!$A$7:$A$42,$A11,'Sales Plan'!$C$7:$C$42,AB$6))</f>
        <v>388541.8</v>
      </c>
      <c r="AC11" s="35">
        <f>IF(AC$5="Actual",SUMIFS(Inflows!$J$7:$J$29,Inflows!$G$7:$G$29,$A11,Inflows!$K$7:$K$29,AC$6),SUMIFS('Sales Plan'!$H$7:$H$42,'Sales Plan'!$A$7:$A$42,$A11,'Sales Plan'!$C$7:$C$42,AC$6))</f>
        <v>0</v>
      </c>
      <c r="AD11" s="35">
        <f>IF(AD$5="Actual",SUMIFS(Inflows!$J$7:$J$29,Inflows!$G$7:$G$29,$A11,Inflows!$K$7:$K$29,AD$6),SUMIFS('Sales Plan'!$H$7:$H$42,'Sales Plan'!$A$7:$A$42,$A11,'Sales Plan'!$C$7:$C$42,AD$6))</f>
        <v>149837.46000000002</v>
      </c>
      <c r="AE11" s="35">
        <f>IF(AE$5="Actual",SUMIFS(Inflows!$J$7:$J$29,Inflows!$G$7:$G$29,$A11,Inflows!$K$7:$K$29,AE$6),SUMIFS('Sales Plan'!$H$7:$H$42,'Sales Plan'!$A$7:$A$42,$A11,'Sales Plan'!$C$7:$C$42,AE$6))</f>
        <v>0</v>
      </c>
      <c r="AF11" s="35">
        <f>IF(AF$5="Actual",SUMIFS(Inflows!$J$7:$J$29,Inflows!$G$7:$G$29,$A11,Inflows!$K$7:$K$29,AF$6),SUMIFS('Sales Plan'!$H$7:$H$42,'Sales Plan'!$A$7:$A$42,$A11,'Sales Plan'!$C$7:$C$42,AF$6))</f>
        <v>0</v>
      </c>
      <c r="AG11" s="35">
        <f>IF(AG$5="Actual",SUMIFS(Inflows!$J$7:$J$29,Inflows!$G$7:$G$29,$A11,Inflows!$K$7:$K$29,AG$6),SUMIFS('Sales Plan'!$H$7:$H$42,'Sales Plan'!$A$7:$A$42,$A11,'Sales Plan'!$C$7:$C$42,AG$6))</f>
        <v>0</v>
      </c>
      <c r="AH11" s="35">
        <f>IF(AH$5="Actual",SUMIFS(Inflows!$J$7:$J$29,Inflows!$G$7:$G$29,$A11,Inflows!$K$7:$K$29,AH$6),SUMIFS('Sales Plan'!$H$7:$H$42,'Sales Plan'!$A$7:$A$42,$A11,'Sales Plan'!$C$7:$C$42,AH$6))</f>
        <v>0</v>
      </c>
      <c r="AI11" s="35">
        <f>IF(AI$5="Actual",SUMIFS(Inflows!$J$7:$J$29,Inflows!$G$7:$G$29,$A11,Inflows!$K$7:$K$29,AI$6),SUMIFS('Sales Plan'!$H$7:$H$42,'Sales Plan'!$A$7:$A$42,$A11,'Sales Plan'!$C$7:$C$42,AI$6))</f>
        <v>0</v>
      </c>
      <c r="AJ11" s="35">
        <f>IF(AJ$5="Actual",SUMIFS(Inflows!$J$7:$J$29,Inflows!$G$7:$G$29,$A11,Inflows!$K$7:$K$29,AJ$6),SUMIFS('Sales Plan'!$H$7:$H$42,'Sales Plan'!$A$7:$A$42,$A11,'Sales Plan'!$C$7:$C$42,AJ$6))</f>
        <v>99891.640000000029</v>
      </c>
      <c r="AK11" s="35">
        <f>IF(AK$5="Actual",SUMIFS(Inflows!$J$7:$J$29,Inflows!$G$7:$G$29,$A11,Inflows!$K$7:$K$29,AK$6),SUMIFS('Sales Plan'!$H$7:$H$42,'Sales Plan'!$A$7:$A$42,$A11,'Sales Plan'!$C$7:$C$42,AK$6))</f>
        <v>0</v>
      </c>
      <c r="AL11" s="35">
        <f>IF(AL$5="Actual",SUMIFS(Inflows!$J$7:$J$29,Inflows!$G$7:$G$29,$A11,Inflows!$K$7:$K$29,AL$6),SUMIFS('Sales Plan'!$H$7:$H$42,'Sales Plan'!$A$7:$A$42,$A11,'Sales Plan'!$C$7:$C$42,AL$6))</f>
        <v>0</v>
      </c>
      <c r="AM11" s="35">
        <f>IF(AM$5="Actual",SUMIFS(Inflows!$J$7:$J$29,Inflows!$G$7:$G$29,$A11,Inflows!$K$7:$K$29,AM$6),SUMIFS('Sales Plan'!$H$7:$H$42,'Sales Plan'!$A$7:$A$42,$A11,'Sales Plan'!$C$7:$C$42,AM$6))</f>
        <v>0</v>
      </c>
      <c r="AN11" s="35">
        <f>IF(AN$5="Actual",SUMIFS(Inflows!$J$7:$J$29,Inflows!$G$7:$G$29,$A11,Inflows!$K$7:$K$29,AN$6),SUMIFS('Sales Plan'!$H$7:$H$42,'Sales Plan'!$A$7:$A$42,$A11,'Sales Plan'!$C$7:$C$42,AN$6))</f>
        <v>0</v>
      </c>
      <c r="AO11" s="35">
        <f>IF(AO$5="Actual",SUMIFS(Inflows!$J$7:$J$29,Inflows!$G$7:$G$29,$A11,Inflows!$K$7:$K$29,AO$6),SUMIFS('Sales Plan'!$H$7:$H$42,'Sales Plan'!$A$7:$A$42,$A11,'Sales Plan'!$C$7:$C$42,AO$6))</f>
        <v>0</v>
      </c>
      <c r="AP11" s="35">
        <f>IF(AP$5="Actual",SUMIFS(Inflows!$J$7:$J$29,Inflows!$G$7:$G$29,$A11,Inflows!$K$7:$K$29,AP$6),SUMIFS('Sales Plan'!$H$7:$H$42,'Sales Plan'!$A$7:$A$42,$A11,'Sales Plan'!$C$7:$C$42,AP$6))</f>
        <v>149837.46000000002</v>
      </c>
      <c r="AQ11" s="35">
        <f>IF(AQ$5="Actual",SUMIFS(Inflows!$J$7:$J$29,Inflows!$G$7:$G$29,$A11,Inflows!$K$7:$K$29,AQ$6),SUMIFS('Sales Plan'!$H$7:$H$42,'Sales Plan'!$A$7:$A$42,$A11,'Sales Plan'!$C$7:$C$42,AQ$6))</f>
        <v>0</v>
      </c>
      <c r="AR11" s="35">
        <f>IF(AR$5="Actual",SUMIFS(Inflows!$J$7:$J$29,Inflows!$G$7:$G$29,$A11,Inflows!$K$7:$K$29,AR$6),SUMIFS('Sales Plan'!$H$7:$H$42,'Sales Plan'!$A$7:$A$42,$A11,'Sales Plan'!$C$7:$C$42,AR$6))</f>
        <v>0</v>
      </c>
      <c r="AS11" s="35">
        <f>IF(AS$5="Actual",SUMIFS(Inflows!$J$7:$J$29,Inflows!$G$7:$G$29,$A11,Inflows!$K$7:$K$29,AS$6),SUMIFS('Sales Plan'!$H$7:$H$42,'Sales Plan'!$A$7:$A$42,$A11,'Sales Plan'!$C$7:$C$42,AS$6))</f>
        <v>0</v>
      </c>
      <c r="AT11" s="35">
        <f>IF(AT$5="Actual",SUMIFS(Inflows!$J$7:$J$29,Inflows!$G$7:$G$29,$A11,Inflows!$K$7:$K$29,AT$6),SUMIFS('Sales Plan'!$H$7:$H$42,'Sales Plan'!$A$7:$A$42,$A11,'Sales Plan'!$C$7:$C$42,AT$6))</f>
        <v>0</v>
      </c>
      <c r="AU11" s="35">
        <f>IF(AU$5="Actual",SUMIFS(Inflows!$J$7:$J$29,Inflows!$G$7:$G$29,$A11,Inflows!$K$7:$K$29,AU$6),SUMIFS('Sales Plan'!$H$7:$H$42,'Sales Plan'!$A$7:$A$42,$A11,'Sales Plan'!$C$7:$C$42,AU$6))</f>
        <v>0</v>
      </c>
      <c r="AV11" s="35">
        <f>IF(AV$5="Actual",SUMIFS(Inflows!$J$7:$J$29,Inflows!$G$7:$G$29,$A11,Inflows!$K$7:$K$29,AV$6),SUMIFS('Sales Plan'!$H$7:$H$42,'Sales Plan'!$A$7:$A$42,$A11,'Sales Plan'!$C$7:$C$42,AV$6))</f>
        <v>99891.640000000029</v>
      </c>
      <c r="AW11" s="35">
        <f>IF(AW$5="Actual",SUMIFS(Inflows!$J$7:$J$29,Inflows!$G$7:$G$29,$A11,Inflows!$K$7:$K$29,AW$6),SUMIFS('Sales Plan'!$H$7:$H$42,'Sales Plan'!$A$7:$A$42,$A11,'Sales Plan'!$C$7:$C$42,AW$6))</f>
        <v>0</v>
      </c>
      <c r="AX11" s="35">
        <f>IF(AX$5="Actual",SUMIFS(Inflows!$J$7:$J$29,Inflows!$G$7:$G$29,$A11,Inflows!$K$7:$K$29,AX$6),SUMIFS('Sales Plan'!$H$7:$H$42,'Sales Plan'!$A$7:$A$42,$A11,'Sales Plan'!$C$7:$C$42,AX$6))</f>
        <v>0</v>
      </c>
      <c r="AY11" s="35">
        <f>IF(AY$5="Actual",SUMIFS(Inflows!$J$7:$J$29,Inflows!$G$7:$G$29,$A11,Inflows!$K$7:$K$29,AY$6),SUMIFS('Sales Plan'!$H$7:$H$42,'Sales Plan'!$A$7:$A$42,$A11,'Sales Plan'!$C$7:$C$42,AY$6))</f>
        <v>0</v>
      </c>
      <c r="AZ11" s="35">
        <f>IF(AZ$5="Actual",SUMIFS(Inflows!$J$7:$J$29,Inflows!$G$7:$G$29,$A11,Inflows!$K$7:$K$29,AZ$6),SUMIFS('Sales Plan'!$H$7:$H$42,'Sales Plan'!$A$7:$A$42,$A11,'Sales Plan'!$C$7:$C$42,AZ$6))</f>
        <v>0</v>
      </c>
      <c r="BA11" s="35">
        <f>IF(BA$5="Actual",SUMIFS(Inflows!$J$7:$J$29,Inflows!$G$7:$G$29,$A11,Inflows!$K$7:$K$29,BA$6),SUMIFS('Sales Plan'!$H$7:$H$42,'Sales Plan'!$A$7:$A$42,$A11,'Sales Plan'!$C$7:$C$42,BA$6))</f>
        <v>0</v>
      </c>
    </row>
    <row r="12" spans="1:53">
      <c r="A12" s="6" t="s">
        <v>140</v>
      </c>
      <c r="B12" s="35">
        <f>INDEX(Villas!$M$6:$M$14,MATCH(A12,Villas!$C$6:$C$14,0))</f>
        <v>2216904.21</v>
      </c>
      <c r="C12" s="35">
        <f>SUMIFS(Inflows!$J$7:$J$29,Inflows!$G$7:$G$29,A12,Inflows!$B$7:$B$29,"&lt;="&amp;Inputs!$B$11)</f>
        <v>0</v>
      </c>
      <c r="D12" s="35">
        <f>MAX(B12-C12,0)</f>
        <v>2216904.21</v>
      </c>
      <c r="E12" s="61">
        <f>_xlfn.MINIFS('Sales Plan'!$C$7:$C$42,'Sales Plan'!$A$7:$A$42,A12)</f>
        <v>45292</v>
      </c>
      <c r="F12" s="60">
        <f>_xlfn.MAXIFS('Sales Plan'!$C$7:$C$42,'Sales Plan'!$A$7:$A$42,A12)</f>
        <v>45839</v>
      </c>
      <c r="G12" s="35">
        <f>IF(G$5="Actual",SUMIFS(Inflows!$J$7:$J$29,Inflows!$G$7:$G$29,$A12,Inflows!$K$7:$K$29,G$6),SUMIFS('Sales Plan'!$H$7:$H$42,'Sales Plan'!$A$7:$A$42,$A12,'Sales Plan'!$C$7:$C$42,G$6))</f>
        <v>0</v>
      </c>
      <c r="H12" s="35">
        <f>IF(H$5="Actual",SUMIFS(Inflows!$J$7:$J$29,Inflows!$G$7:$G$29,$A12,Inflows!$K$7:$K$29,H$6),SUMIFS('Sales Plan'!$H$7:$H$42,'Sales Plan'!$A$7:$A$42,$A12,'Sales Plan'!$C$7:$C$42,H$6))</f>
        <v>0</v>
      </c>
      <c r="I12" s="35">
        <f>IF(I$5="Actual",SUMIFS(Inflows!$J$7:$J$29,Inflows!$G$7:$G$29,$A12,Inflows!$K$7:$K$29,I$6),SUMIFS('Sales Plan'!$H$7:$H$42,'Sales Plan'!$A$7:$A$42,$A12,'Sales Plan'!$C$7:$C$42,I$6))</f>
        <v>0</v>
      </c>
      <c r="J12" s="35">
        <f>IF(J$5="Actual",SUMIFS(Inflows!$J$7:$J$29,Inflows!$G$7:$G$29,$A12,Inflows!$K$7:$K$29,J$6),SUMIFS('Sales Plan'!$H$7:$H$42,'Sales Plan'!$A$7:$A$42,$A12,'Sales Plan'!$C$7:$C$42,J$6))</f>
        <v>0</v>
      </c>
      <c r="K12" s="35">
        <f>IF(K$5="Actual",SUMIFS(Inflows!$J$7:$J$29,Inflows!$G$7:$G$29,$A12,Inflows!$K$7:$K$29,K$6),SUMIFS('Sales Plan'!$H$7:$H$42,'Sales Plan'!$A$7:$A$42,$A12,'Sales Plan'!$C$7:$C$42,K$6))</f>
        <v>0</v>
      </c>
      <c r="L12" s="35">
        <f>IF(L$5="Actual",SUMIFS(Inflows!$J$7:$J$29,Inflows!$G$7:$G$29,$A12,Inflows!$K$7:$K$29,L$6),SUMIFS('Sales Plan'!$H$7:$H$42,'Sales Plan'!$A$7:$A$42,$A12,'Sales Plan'!$C$7:$C$42,L$6))</f>
        <v>0</v>
      </c>
      <c r="M12" s="35">
        <f>IF(M$5="Actual",SUMIFS(Inflows!$J$7:$J$29,Inflows!$G$7:$G$29,$A12,Inflows!$K$7:$K$29,M$6),SUMIFS('Sales Plan'!$H$7:$H$42,'Sales Plan'!$A$7:$A$42,$A12,'Sales Plan'!$C$7:$C$42,M$6))</f>
        <v>0</v>
      </c>
      <c r="N12" s="35">
        <f>IF(N$5="Actual",SUMIFS(Inflows!$J$7:$J$29,Inflows!$G$7:$G$29,$A12,Inflows!$K$7:$K$29,N$6),SUMIFS('Sales Plan'!$H$7:$H$42,'Sales Plan'!$A$7:$A$42,$A12,'Sales Plan'!$C$7:$C$42,N$6))</f>
        <v>0</v>
      </c>
      <c r="O12" s="35">
        <f>IF(O$5="Actual",SUMIFS(Inflows!$J$7:$J$29,Inflows!$G$7:$G$29,$A12,Inflows!$K$7:$K$29,O$6),SUMIFS('Sales Plan'!$H$7:$H$42,'Sales Plan'!$A$7:$A$42,$A12,'Sales Plan'!$C$7:$C$42,O$6))</f>
        <v>0</v>
      </c>
      <c r="P12" s="35">
        <f>IF(P$5="Actual",SUMIFS(Inflows!$J$7:$J$29,Inflows!$G$7:$G$29,$A12,Inflows!$K$7:$K$29,P$6),SUMIFS('Sales Plan'!$H$7:$H$42,'Sales Plan'!$A$7:$A$42,$A12,'Sales Plan'!$C$7:$C$42,P$6))</f>
        <v>0</v>
      </c>
      <c r="Q12" s="35">
        <f>IF(Q$5="Actual",SUMIFS(Inflows!$J$7:$J$29,Inflows!$G$7:$G$29,$A12,Inflows!$K$7:$K$29,Q$6),SUMIFS('Sales Plan'!$H$7:$H$42,'Sales Plan'!$A$7:$A$42,$A12,'Sales Plan'!$C$7:$C$42,Q$6))</f>
        <v>0</v>
      </c>
      <c r="R12" s="35">
        <f>IF(R$5="Actual",SUMIFS(Inflows!$J$7:$J$29,Inflows!$G$7:$G$29,$A12,Inflows!$K$7:$K$29,R$6),SUMIFS('Sales Plan'!$H$7:$H$42,'Sales Plan'!$A$7:$A$42,$A12,'Sales Plan'!$C$7:$C$42,R$6))</f>
        <v>0</v>
      </c>
      <c r="S12" s="35">
        <f>IF(S$5="Actual",SUMIFS(Inflows!$J$7:$J$29,Inflows!$G$7:$G$29,$A12,Inflows!$K$7:$K$29,S$6),SUMIFS('Sales Plan'!$H$7:$H$42,'Sales Plan'!$A$7:$A$42,$A12,'Sales Plan'!$C$7:$C$42,S$6))</f>
        <v>0</v>
      </c>
      <c r="T12" s="35">
        <f>IF(T$5="Actual",SUMIFS(Inflows!$J$7:$J$29,Inflows!$G$7:$G$29,$A12,Inflows!$K$7:$K$29,T$6),SUMIFS('Sales Plan'!$H$7:$H$42,'Sales Plan'!$A$7:$A$42,$A12,'Sales Plan'!$C$7:$C$42,T$6))</f>
        <v>0</v>
      </c>
      <c r="U12" s="35">
        <f>IF(U$5="Actual",SUMIFS(Inflows!$J$7:$J$29,Inflows!$G$7:$G$29,$A12,Inflows!$K$7:$K$29,U$6),SUMIFS('Sales Plan'!$H$7:$H$42,'Sales Plan'!$A$7:$A$42,$A12,'Sales Plan'!$C$7:$C$42,U$6))</f>
        <v>0</v>
      </c>
      <c r="V12" s="35">
        <f>IF(V$5="Actual",SUMIFS(Inflows!$J$7:$J$29,Inflows!$G$7:$G$29,$A12,Inflows!$K$7:$K$29,V$6),SUMIFS('Sales Plan'!$H$7:$H$42,'Sales Plan'!$A$7:$A$42,$A12,'Sales Plan'!$C$7:$C$42,V$6))</f>
        <v>0</v>
      </c>
      <c r="W12" s="35">
        <f>IF(W$5="Actual",SUMIFS(Inflows!$J$7:$J$29,Inflows!$G$7:$G$29,$A12,Inflows!$K$7:$K$29,W$6),SUMIFS('Sales Plan'!$H$7:$H$42,'Sales Plan'!$A$7:$A$42,$A12,'Sales Plan'!$C$7:$C$42,W$6))</f>
        <v>0</v>
      </c>
      <c r="X12" s="35">
        <f>IF(X$5="Actual",SUMIFS(Inflows!$J$7:$J$29,Inflows!$G$7:$G$29,$A12,Inflows!$K$7:$K$29,X$6),SUMIFS('Sales Plan'!$H$7:$H$42,'Sales Plan'!$A$7:$A$42,$A12,'Sales Plan'!$C$7:$C$42,X$6))</f>
        <v>0</v>
      </c>
      <c r="Y12" s="35">
        <f>IF(Y$5="Actual",SUMIFS(Inflows!$J$7:$J$29,Inflows!$G$7:$G$29,$A12,Inflows!$K$7:$K$29,Y$6),SUMIFS('Sales Plan'!$H$7:$H$42,'Sales Plan'!$A$7:$A$42,$A12,'Sales Plan'!$C$7:$C$42,Y$6))</f>
        <v>0</v>
      </c>
      <c r="Z12" s="35">
        <f>IF(Z$5="Actual",SUMIFS(Inflows!$J$7:$J$29,Inflows!$G$7:$G$29,$A12,Inflows!$K$7:$K$29,Z$6),SUMIFS('Sales Plan'!$H$7:$H$42,'Sales Plan'!$A$7:$A$42,$A12,'Sales Plan'!$C$7:$C$42,Z$6))</f>
        <v>0</v>
      </c>
      <c r="AA12" s="35">
        <f>IF(AA$5="Actual",SUMIFS(Inflows!$J$7:$J$29,Inflows!$G$7:$G$29,$A12,Inflows!$K$7:$K$29,AA$6),SUMIFS('Sales Plan'!$H$7:$H$42,'Sales Plan'!$A$7:$A$42,$A12,'Sales Plan'!$C$7:$C$42,AA$6))</f>
        <v>0</v>
      </c>
      <c r="AB12" s="35">
        <f>IF(AB$5="Actual",SUMIFS(Inflows!$J$7:$J$29,Inflows!$G$7:$G$29,$A12,Inflows!$K$7:$K$29,AB$6),SUMIFS('Sales Plan'!$H$7:$H$42,'Sales Plan'!$A$7:$A$42,$A12,'Sales Plan'!$C$7:$C$42,AB$6))</f>
        <v>0</v>
      </c>
      <c r="AC12" s="35">
        <f>IF(AC$5="Actual",SUMIFS(Inflows!$J$7:$J$29,Inflows!$G$7:$G$29,$A12,Inflows!$K$7:$K$29,AC$6),SUMIFS('Sales Plan'!$H$7:$H$42,'Sales Plan'!$A$7:$A$42,$A12,'Sales Plan'!$C$7:$C$42,AC$6))</f>
        <v>0</v>
      </c>
      <c r="AD12" s="35">
        <f>IF(AD$5="Actual",SUMIFS(Inflows!$J$7:$J$29,Inflows!$G$7:$G$29,$A12,Inflows!$K$7:$K$29,AD$6),SUMIFS('Sales Plan'!$H$7:$H$42,'Sales Plan'!$A$7:$A$42,$A12,'Sales Plan'!$C$7:$C$42,AD$6))</f>
        <v>665071.26299999992</v>
      </c>
      <c r="AE12" s="35">
        <f>IF(AE$5="Actual",SUMIFS(Inflows!$J$7:$J$29,Inflows!$G$7:$G$29,$A12,Inflows!$K$7:$K$29,AE$6),SUMIFS('Sales Plan'!$H$7:$H$42,'Sales Plan'!$A$7:$A$42,$A12,'Sales Plan'!$C$7:$C$42,AE$6))</f>
        <v>0</v>
      </c>
      <c r="AF12" s="35">
        <f>IF(AF$5="Actual",SUMIFS(Inflows!$J$7:$J$29,Inflows!$G$7:$G$29,$A12,Inflows!$K$7:$K$29,AF$6),SUMIFS('Sales Plan'!$H$7:$H$42,'Sales Plan'!$A$7:$A$42,$A12,'Sales Plan'!$C$7:$C$42,AF$6))</f>
        <v>0</v>
      </c>
      <c r="AG12" s="35">
        <f>IF(AG$5="Actual",SUMIFS(Inflows!$J$7:$J$29,Inflows!$G$7:$G$29,$A12,Inflows!$K$7:$K$29,AG$6),SUMIFS('Sales Plan'!$H$7:$H$42,'Sales Plan'!$A$7:$A$42,$A12,'Sales Plan'!$C$7:$C$42,AG$6))</f>
        <v>0</v>
      </c>
      <c r="AH12" s="35">
        <f>IF(AH$5="Actual",SUMIFS(Inflows!$J$7:$J$29,Inflows!$G$7:$G$29,$A12,Inflows!$K$7:$K$29,AH$6),SUMIFS('Sales Plan'!$H$7:$H$42,'Sales Plan'!$A$7:$A$42,$A12,'Sales Plan'!$C$7:$C$42,AH$6))</f>
        <v>0</v>
      </c>
      <c r="AI12" s="35">
        <f>IF(AI$5="Actual",SUMIFS(Inflows!$J$7:$J$29,Inflows!$G$7:$G$29,$A12,Inflows!$K$7:$K$29,AI$6),SUMIFS('Sales Plan'!$H$7:$H$42,'Sales Plan'!$A$7:$A$42,$A12,'Sales Plan'!$C$7:$C$42,AI$6))</f>
        <v>0</v>
      </c>
      <c r="AJ12" s="35">
        <f>IF(AJ$5="Actual",SUMIFS(Inflows!$J$7:$J$29,Inflows!$G$7:$G$29,$A12,Inflows!$K$7:$K$29,AJ$6),SUMIFS('Sales Plan'!$H$7:$H$42,'Sales Plan'!$A$7:$A$42,$A12,'Sales Plan'!$C$7:$C$42,AJ$6))</f>
        <v>443380.842</v>
      </c>
      <c r="AK12" s="35">
        <f>IF(AK$5="Actual",SUMIFS(Inflows!$J$7:$J$29,Inflows!$G$7:$G$29,$A12,Inflows!$K$7:$K$29,AK$6),SUMIFS('Sales Plan'!$H$7:$H$42,'Sales Plan'!$A$7:$A$42,$A12,'Sales Plan'!$C$7:$C$42,AK$6))</f>
        <v>0</v>
      </c>
      <c r="AL12" s="35">
        <f>IF(AL$5="Actual",SUMIFS(Inflows!$J$7:$J$29,Inflows!$G$7:$G$29,$A12,Inflows!$K$7:$K$29,AL$6),SUMIFS('Sales Plan'!$H$7:$H$42,'Sales Plan'!$A$7:$A$42,$A12,'Sales Plan'!$C$7:$C$42,AL$6))</f>
        <v>0</v>
      </c>
      <c r="AM12" s="35">
        <f>IF(AM$5="Actual",SUMIFS(Inflows!$J$7:$J$29,Inflows!$G$7:$G$29,$A12,Inflows!$K$7:$K$29,AM$6),SUMIFS('Sales Plan'!$H$7:$H$42,'Sales Plan'!$A$7:$A$42,$A12,'Sales Plan'!$C$7:$C$42,AM$6))</f>
        <v>0</v>
      </c>
      <c r="AN12" s="35">
        <f>IF(AN$5="Actual",SUMIFS(Inflows!$J$7:$J$29,Inflows!$G$7:$G$29,$A12,Inflows!$K$7:$K$29,AN$6),SUMIFS('Sales Plan'!$H$7:$H$42,'Sales Plan'!$A$7:$A$42,$A12,'Sales Plan'!$C$7:$C$42,AN$6))</f>
        <v>0</v>
      </c>
      <c r="AO12" s="35">
        <f>IF(AO$5="Actual",SUMIFS(Inflows!$J$7:$J$29,Inflows!$G$7:$G$29,$A12,Inflows!$K$7:$K$29,AO$6),SUMIFS('Sales Plan'!$H$7:$H$42,'Sales Plan'!$A$7:$A$42,$A12,'Sales Plan'!$C$7:$C$42,AO$6))</f>
        <v>0</v>
      </c>
      <c r="AP12" s="35">
        <f>IF(AP$5="Actual",SUMIFS(Inflows!$J$7:$J$29,Inflows!$G$7:$G$29,$A12,Inflows!$K$7:$K$29,AP$6),SUMIFS('Sales Plan'!$H$7:$H$42,'Sales Plan'!$A$7:$A$42,$A12,'Sales Plan'!$C$7:$C$42,AP$6))</f>
        <v>665071.26299999992</v>
      </c>
      <c r="AQ12" s="35">
        <f>IF(AQ$5="Actual",SUMIFS(Inflows!$J$7:$J$29,Inflows!$G$7:$G$29,$A12,Inflows!$K$7:$K$29,AQ$6),SUMIFS('Sales Plan'!$H$7:$H$42,'Sales Plan'!$A$7:$A$42,$A12,'Sales Plan'!$C$7:$C$42,AQ$6))</f>
        <v>0</v>
      </c>
      <c r="AR12" s="35">
        <f>IF(AR$5="Actual",SUMIFS(Inflows!$J$7:$J$29,Inflows!$G$7:$G$29,$A12,Inflows!$K$7:$K$29,AR$6),SUMIFS('Sales Plan'!$H$7:$H$42,'Sales Plan'!$A$7:$A$42,$A12,'Sales Plan'!$C$7:$C$42,AR$6))</f>
        <v>0</v>
      </c>
      <c r="AS12" s="35">
        <f>IF(AS$5="Actual",SUMIFS(Inflows!$J$7:$J$29,Inflows!$G$7:$G$29,$A12,Inflows!$K$7:$K$29,AS$6),SUMIFS('Sales Plan'!$H$7:$H$42,'Sales Plan'!$A$7:$A$42,$A12,'Sales Plan'!$C$7:$C$42,AS$6))</f>
        <v>0</v>
      </c>
      <c r="AT12" s="35">
        <f>IF(AT$5="Actual",SUMIFS(Inflows!$J$7:$J$29,Inflows!$G$7:$G$29,$A12,Inflows!$K$7:$K$29,AT$6),SUMIFS('Sales Plan'!$H$7:$H$42,'Sales Plan'!$A$7:$A$42,$A12,'Sales Plan'!$C$7:$C$42,AT$6))</f>
        <v>0</v>
      </c>
      <c r="AU12" s="35">
        <f>IF(AU$5="Actual",SUMIFS(Inflows!$J$7:$J$29,Inflows!$G$7:$G$29,$A12,Inflows!$K$7:$K$29,AU$6),SUMIFS('Sales Plan'!$H$7:$H$42,'Sales Plan'!$A$7:$A$42,$A12,'Sales Plan'!$C$7:$C$42,AU$6))</f>
        <v>0</v>
      </c>
      <c r="AV12" s="35">
        <f>IF(AV$5="Actual",SUMIFS(Inflows!$J$7:$J$29,Inflows!$G$7:$G$29,$A12,Inflows!$K$7:$K$29,AV$6),SUMIFS('Sales Plan'!$H$7:$H$42,'Sales Plan'!$A$7:$A$42,$A12,'Sales Plan'!$C$7:$C$42,AV$6))</f>
        <v>443380.842</v>
      </c>
      <c r="AW12" s="35">
        <f>IF(AW$5="Actual",SUMIFS(Inflows!$J$7:$J$29,Inflows!$G$7:$G$29,$A12,Inflows!$K$7:$K$29,AW$6),SUMIFS('Sales Plan'!$H$7:$H$42,'Sales Plan'!$A$7:$A$42,$A12,'Sales Plan'!$C$7:$C$42,AW$6))</f>
        <v>0</v>
      </c>
      <c r="AX12" s="35">
        <f>IF(AX$5="Actual",SUMIFS(Inflows!$J$7:$J$29,Inflows!$G$7:$G$29,$A12,Inflows!$K$7:$K$29,AX$6),SUMIFS('Sales Plan'!$H$7:$H$42,'Sales Plan'!$A$7:$A$42,$A12,'Sales Plan'!$C$7:$C$42,AX$6))</f>
        <v>0</v>
      </c>
      <c r="AY12" s="35">
        <f>IF(AY$5="Actual",SUMIFS(Inflows!$J$7:$J$29,Inflows!$G$7:$G$29,$A12,Inflows!$K$7:$K$29,AY$6),SUMIFS('Sales Plan'!$H$7:$H$42,'Sales Plan'!$A$7:$A$42,$A12,'Sales Plan'!$C$7:$C$42,AY$6))</f>
        <v>0</v>
      </c>
      <c r="AZ12" s="35">
        <f>IF(AZ$5="Actual",SUMIFS(Inflows!$J$7:$J$29,Inflows!$G$7:$G$29,$A12,Inflows!$K$7:$K$29,AZ$6),SUMIFS('Sales Plan'!$H$7:$H$42,'Sales Plan'!$A$7:$A$42,$A12,'Sales Plan'!$C$7:$C$42,AZ$6))</f>
        <v>0</v>
      </c>
      <c r="BA12" s="35">
        <f>IF(BA$5="Actual",SUMIFS(Inflows!$J$7:$J$29,Inflows!$G$7:$G$29,$A12,Inflows!$K$7:$K$29,BA$6),SUMIFS('Sales Plan'!$H$7:$H$42,'Sales Plan'!$A$7:$A$42,$A12,'Sales Plan'!$C$7:$C$42,BA$6))</f>
        <v>0</v>
      </c>
    </row>
    <row r="13" spans="1:53">
      <c r="A13" s="6" t="s">
        <v>169</v>
      </c>
      <c r="B13" s="35"/>
      <c r="C13" s="35">
        <f>SUMIFS(Inflows!$J$7:$J$29,Inflows!$G$7:$G$29,"Other income",Inflows!$B$7:$B$29,"&lt;="&amp;Inputs!$B$11)</f>
        <v>381.29239798944758</v>
      </c>
      <c r="D13" s="35"/>
      <c r="E13" s="61"/>
      <c r="F13" s="61"/>
      <c r="G13" s="35">
        <f>IF(G$5="Actual",SUMIFS(Inflows!$J$7:$J$29,Inflows!$G$7:$G$29,"Other income",Inflows!$K$7:$K$29,G$6),0)</f>
        <v>0</v>
      </c>
      <c r="H13" s="35">
        <f>IF(H$5="Actual",SUMIFS(Inflows!$J$7:$J$29,Inflows!$G$7:$G$29,"Other income",Inflows!$K$7:$K$29,H$6),0)</f>
        <v>0</v>
      </c>
      <c r="I13" s="35">
        <f>IF(I$5="Actual",SUMIFS(Inflows!$J$7:$J$29,Inflows!$G$7:$G$29,"Other income",Inflows!$K$7:$K$29,I$6),0)</f>
        <v>0</v>
      </c>
      <c r="J13" s="35">
        <f>IF(J$5="Actual",SUMIFS(Inflows!$J$7:$J$29,Inflows!$G$7:$G$29,"Other income",Inflows!$K$7:$K$29,J$6),0)</f>
        <v>0</v>
      </c>
      <c r="K13" s="35">
        <f>IF(K$5="Actual",SUMIFS(Inflows!$J$7:$J$29,Inflows!$G$7:$G$29,"Other income",Inflows!$K$7:$K$29,K$6),0)</f>
        <v>0</v>
      </c>
      <c r="L13" s="35">
        <f>IF(L$5="Actual",SUMIFS(Inflows!$J$7:$J$29,Inflows!$G$7:$G$29,"Other income",Inflows!$K$7:$K$29,L$6),0)</f>
        <v>0</v>
      </c>
      <c r="M13" s="35">
        <f>IF(M$5="Actual",SUMIFS(Inflows!$J$7:$J$29,Inflows!$G$7:$G$29,"Other income",Inflows!$K$7:$K$29,M$6),0)</f>
        <v>0</v>
      </c>
      <c r="N13" s="35">
        <f>IF(N$5="Actual",SUMIFS(Inflows!$J$7:$J$29,Inflows!$G$7:$G$29,"Other income",Inflows!$K$7:$K$29,N$6),0)</f>
        <v>0</v>
      </c>
      <c r="O13" s="35">
        <f>IF(O$5="Actual",SUMIFS(Inflows!$J$7:$J$29,Inflows!$G$7:$G$29,"Other income",Inflows!$K$7:$K$29,O$6),0)</f>
        <v>0</v>
      </c>
      <c r="P13" s="35">
        <f>IF(P$5="Actual",SUMIFS(Inflows!$J$7:$J$29,Inflows!$G$7:$G$29,"Other income",Inflows!$K$7:$K$29,P$6),0)</f>
        <v>0</v>
      </c>
      <c r="Q13" s="35">
        <f>IF(Q$5="Actual",SUMIFS(Inflows!$J$7:$J$29,Inflows!$G$7:$G$29,"Other income",Inflows!$K$7:$K$29,Q$6),0)</f>
        <v>1.9083859894475876</v>
      </c>
      <c r="R13" s="35">
        <f>IF(R$5="Actual",SUMIFS(Inflows!$J$7:$J$29,Inflows!$G$7:$G$29,"Other income",Inflows!$K$7:$K$29,R$6),0)</f>
        <v>20.100000000000001</v>
      </c>
      <c r="S13" s="35">
        <f>IF(S$5="Actual",SUMIFS(Inflows!$J$7:$J$29,Inflows!$G$7:$G$29,"Other income",Inflows!$K$7:$K$29,S$6),0)</f>
        <v>29.06</v>
      </c>
      <c r="T13" s="35">
        <f>IF(T$5="Actual",SUMIFS(Inflows!$J$7:$J$29,Inflows!$G$7:$G$29,"Other income",Inflows!$K$7:$K$29,T$6),0)</f>
        <v>46.67</v>
      </c>
      <c r="U13" s="35">
        <f>IF(U$5="Actual",SUMIFS(Inflows!$J$7:$J$29,Inflows!$G$7:$G$29,"Other income",Inflows!$K$7:$K$29,U$6),0)</f>
        <v>44.35</v>
      </c>
      <c r="V13" s="35">
        <f>IF(V$5="Actual",SUMIFS(Inflows!$J$7:$J$29,Inflows!$G$7:$G$29,"Other income",Inflows!$K$7:$K$29,V$6),0)</f>
        <v>45.68</v>
      </c>
      <c r="W13" s="35">
        <f>IF(W$5="Actual",SUMIFS(Inflows!$J$7:$J$29,Inflows!$G$7:$G$29,"Other income",Inflows!$K$7:$K$29,W$6),0)</f>
        <v>42.335717333333335</v>
      </c>
      <c r="X13" s="35">
        <f>IF(X$5="Actual",SUMIFS(Inflows!$J$7:$J$29,Inflows!$G$7:$G$29,"Other income",Inflows!$K$7:$K$29,X$6),0)</f>
        <v>35.497926666666672</v>
      </c>
      <c r="Y13" s="35">
        <f>IF(Y$5="Actual",SUMIFS(Inflows!$J$7:$J$29,Inflows!$G$7:$G$29,"Other income",Inflows!$K$7:$K$29,Y$6),0)</f>
        <v>31.647757333333335</v>
      </c>
      <c r="Z13" s="35">
        <f>IF(Z$5="Actual",SUMIFS(Inflows!$J$7:$J$29,Inflows!$G$7:$G$29,"Other income",Inflows!$K$7:$K$29,Z$6),0)</f>
        <v>28.89</v>
      </c>
      <c r="AA13" s="35">
        <f>IF(AA$5="Actual",SUMIFS(Inflows!$J$7:$J$29,Inflows!$G$7:$G$29,"Other income",Inflows!$K$7:$K$29,AA$6),0)</f>
        <v>29.242978000000001</v>
      </c>
      <c r="AB13" s="35">
        <f>IF(AB$5="Actual",SUMIFS(Inflows!$J$7:$J$29,Inflows!$G$7:$G$29,"Other income",Inflows!$K$7:$K$29,AB$6),0)</f>
        <v>25.909632666666663</v>
      </c>
      <c r="AC13" s="35">
        <f>IF(AC$5="Actual",SUMIFS(Inflows!$J$7:$J$29,Inflows!$G$7:$G$29,"Other income",Inflows!$K$7:$K$29,AC$6),0)</f>
        <v>0</v>
      </c>
      <c r="AD13" s="35">
        <f>IF(AD$5="Actual",SUMIFS(Inflows!$J$7:$J$29,Inflows!$G$7:$G$29,"Other income",Inflows!$K$7:$K$29,AD$6),0)</f>
        <v>0</v>
      </c>
      <c r="AE13" s="35">
        <f>IF(AE$5="Actual",SUMIFS(Inflows!$J$7:$J$29,Inflows!$G$7:$G$29,"Other income",Inflows!$K$7:$K$29,AE$6),0)</f>
        <v>0</v>
      </c>
      <c r="AF13" s="35">
        <f>IF(AF$5="Actual",SUMIFS(Inflows!$J$7:$J$29,Inflows!$G$7:$G$29,"Other income",Inflows!$K$7:$K$29,AF$6),0)</f>
        <v>0</v>
      </c>
      <c r="AG13" s="35">
        <f>IF(AG$5="Actual",SUMIFS(Inflows!$J$7:$J$29,Inflows!$G$7:$G$29,"Other income",Inflows!$K$7:$K$29,AG$6),0)</f>
        <v>0</v>
      </c>
      <c r="AH13" s="35">
        <f>IF(AH$5="Actual",SUMIFS(Inflows!$J$7:$J$29,Inflows!$G$7:$G$29,"Other income",Inflows!$K$7:$K$29,AH$6),0)</f>
        <v>0</v>
      </c>
      <c r="AI13" s="35">
        <f>IF(AI$5="Actual",SUMIFS(Inflows!$J$7:$J$29,Inflows!$G$7:$G$29,"Other income",Inflows!$K$7:$K$29,AI$6),0)</f>
        <v>0</v>
      </c>
      <c r="AJ13" s="35">
        <f>IF(AJ$5="Actual",SUMIFS(Inflows!$J$7:$J$29,Inflows!$G$7:$G$29,"Other income",Inflows!$K$7:$K$29,AJ$6),0)</f>
        <v>0</v>
      </c>
      <c r="AK13" s="35">
        <f>IF(AK$5="Actual",SUMIFS(Inflows!$J$7:$J$29,Inflows!$G$7:$G$29,"Other income",Inflows!$K$7:$K$29,AK$6),0)</f>
        <v>0</v>
      </c>
      <c r="AL13" s="35">
        <f>IF(AL$5="Actual",SUMIFS(Inflows!$J$7:$J$29,Inflows!$G$7:$G$29,"Other income",Inflows!$K$7:$K$29,AL$6),0)</f>
        <v>0</v>
      </c>
      <c r="AM13" s="35">
        <f>IF(AM$5="Actual",SUMIFS(Inflows!$J$7:$J$29,Inflows!$G$7:$G$29,"Other income",Inflows!$K$7:$K$29,AM$6),0)</f>
        <v>0</v>
      </c>
      <c r="AN13" s="35">
        <f>IF(AN$5="Actual",SUMIFS(Inflows!$J$7:$J$29,Inflows!$G$7:$G$29,"Other income",Inflows!$K$7:$K$29,AN$6),0)</f>
        <v>0</v>
      </c>
      <c r="AO13" s="35">
        <f>IF(AO$5="Actual",SUMIFS(Inflows!$J$7:$J$29,Inflows!$G$7:$G$29,"Other income",Inflows!$K$7:$K$29,AO$6),0)</f>
        <v>0</v>
      </c>
      <c r="AP13" s="35">
        <f>IF(AP$5="Actual",SUMIFS(Inflows!$J$7:$J$29,Inflows!$G$7:$G$29,"Other income",Inflows!$K$7:$K$29,AP$6),0)</f>
        <v>0</v>
      </c>
      <c r="AQ13" s="35">
        <f>IF(AQ$5="Actual",SUMIFS(Inflows!$J$7:$J$29,Inflows!$G$7:$G$29,"Other income",Inflows!$K$7:$K$29,AQ$6),0)</f>
        <v>0</v>
      </c>
      <c r="AR13" s="35">
        <f>IF(AR$5="Actual",SUMIFS(Inflows!$J$7:$J$29,Inflows!$G$7:$G$29,"Other income",Inflows!$K$7:$K$29,AR$6),0)</f>
        <v>0</v>
      </c>
      <c r="AS13" s="35">
        <f>IF(AS$5="Actual",SUMIFS(Inflows!$J$7:$J$29,Inflows!$G$7:$G$29,"Other income",Inflows!$K$7:$K$29,AS$6),0)</f>
        <v>0</v>
      </c>
      <c r="AT13" s="35">
        <f>IF(AT$5="Actual",SUMIFS(Inflows!$J$7:$J$29,Inflows!$G$7:$G$29,"Other income",Inflows!$K$7:$K$29,AT$6),0)</f>
        <v>0</v>
      </c>
      <c r="AU13" s="35">
        <f>IF(AU$5="Actual",SUMIFS(Inflows!$J$7:$J$29,Inflows!$G$7:$G$29,"Other income",Inflows!$K$7:$K$29,AU$6),0)</f>
        <v>0</v>
      </c>
      <c r="AV13" s="35">
        <f>IF(AV$5="Actual",SUMIFS(Inflows!$J$7:$J$29,Inflows!$G$7:$G$29,"Other income",Inflows!$K$7:$K$29,AV$6),0)</f>
        <v>0</v>
      </c>
      <c r="AW13" s="35">
        <f>IF(AW$5="Actual",SUMIFS(Inflows!$J$7:$J$29,Inflows!$G$7:$G$29,"Other income",Inflows!$K$7:$K$29,AW$6),0)</f>
        <v>0</v>
      </c>
      <c r="AX13" s="35">
        <f>IF(AX$5="Actual",SUMIFS(Inflows!$J$7:$J$29,Inflows!$G$7:$G$29,"Other income",Inflows!$K$7:$K$29,AX$6),0)</f>
        <v>0</v>
      </c>
      <c r="AY13" s="35">
        <f>IF(AY$5="Actual",SUMIFS(Inflows!$J$7:$J$29,Inflows!$G$7:$G$29,"Other income",Inflows!$K$7:$K$29,AY$6),0)</f>
        <v>0</v>
      </c>
      <c r="AZ13" s="35">
        <f>IF(AZ$5="Actual",SUMIFS(Inflows!$J$7:$J$29,Inflows!$G$7:$G$29,"Other income",Inflows!$K$7:$K$29,AZ$6),0)</f>
        <v>0</v>
      </c>
      <c r="BA13" s="35">
        <f>IF(BA$5="Actual",SUMIFS(Inflows!$J$7:$J$29,Inflows!$G$7:$G$29,"Other income",Inflows!$K$7:$K$29,BA$6),0)</f>
        <v>0</v>
      </c>
    </row>
    <row r="14" spans="1:53">
      <c r="A14" s="88" t="s">
        <v>170</v>
      </c>
      <c r="B14" s="93">
        <f>SUM(B8:B13)</f>
        <v>12451661.489584334</v>
      </c>
      <c r="C14" s="93">
        <f>SUM(C8:C13)</f>
        <v>832913.09239798947</v>
      </c>
      <c r="D14" s="93">
        <f>SUM(D8:D13)</f>
        <v>11619129.689584333</v>
      </c>
      <c r="E14" s="98"/>
      <c r="F14" s="98"/>
      <c r="G14" s="93">
        <f t="shared" ref="G14:BA14" si="0">SUM(G8:G13)</f>
        <v>0</v>
      </c>
      <c r="H14" s="93">
        <f t="shared" si="0"/>
        <v>0</v>
      </c>
      <c r="I14" s="93">
        <f t="shared" si="0"/>
        <v>0</v>
      </c>
      <c r="J14" s="93">
        <f t="shared" si="0"/>
        <v>0</v>
      </c>
      <c r="K14" s="93">
        <f t="shared" si="0"/>
        <v>0</v>
      </c>
      <c r="L14" s="93">
        <f t="shared" si="0"/>
        <v>0</v>
      </c>
      <c r="M14" s="93">
        <f t="shared" si="0"/>
        <v>0</v>
      </c>
      <c r="N14" s="93">
        <f t="shared" si="0"/>
        <v>0</v>
      </c>
      <c r="O14" s="93">
        <f t="shared" si="0"/>
        <v>0</v>
      </c>
      <c r="P14" s="93">
        <f t="shared" si="0"/>
        <v>0</v>
      </c>
      <c r="Q14" s="93">
        <f t="shared" si="0"/>
        <v>221996.90838598946</v>
      </c>
      <c r="R14" s="93">
        <f t="shared" si="0"/>
        <v>20.100000000000001</v>
      </c>
      <c r="S14" s="93">
        <f t="shared" si="0"/>
        <v>222024.06</v>
      </c>
      <c r="T14" s="93">
        <f t="shared" si="0"/>
        <v>46.67</v>
      </c>
      <c r="U14" s="93">
        <f t="shared" si="0"/>
        <v>44.35</v>
      </c>
      <c r="V14" s="93">
        <f t="shared" si="0"/>
        <v>45.68</v>
      </c>
      <c r="W14" s="93">
        <f t="shared" si="0"/>
        <v>42.335717333333335</v>
      </c>
      <c r="X14" s="93">
        <f t="shared" si="0"/>
        <v>35.497926666666672</v>
      </c>
      <c r="Y14" s="93">
        <f t="shared" si="0"/>
        <v>31.647757333333335</v>
      </c>
      <c r="Z14" s="93">
        <f t="shared" si="0"/>
        <v>28.89</v>
      </c>
      <c r="AA14" s="93">
        <f t="shared" si="0"/>
        <v>29.242978000000001</v>
      </c>
      <c r="AB14" s="93">
        <f t="shared" si="0"/>
        <v>388567.70963266667</v>
      </c>
      <c r="AC14" s="93">
        <f t="shared" si="0"/>
        <v>0</v>
      </c>
      <c r="AD14" s="93">
        <f t="shared" si="0"/>
        <v>3485738.9068753002</v>
      </c>
      <c r="AE14" s="93">
        <f t="shared" si="0"/>
        <v>0</v>
      </c>
      <c r="AF14" s="93">
        <f t="shared" si="0"/>
        <v>0</v>
      </c>
      <c r="AG14" s="93">
        <f t="shared" si="0"/>
        <v>0</v>
      </c>
      <c r="AH14" s="93">
        <f t="shared" si="0"/>
        <v>0</v>
      </c>
      <c r="AI14" s="93">
        <f t="shared" si="0"/>
        <v>0</v>
      </c>
      <c r="AJ14" s="93">
        <f t="shared" si="0"/>
        <v>2323825.9379168674</v>
      </c>
      <c r="AK14" s="93">
        <f t="shared" si="0"/>
        <v>0</v>
      </c>
      <c r="AL14" s="93">
        <f t="shared" si="0"/>
        <v>0</v>
      </c>
      <c r="AM14" s="93">
        <f t="shared" si="0"/>
        <v>0</v>
      </c>
      <c r="AN14" s="93">
        <f t="shared" si="0"/>
        <v>0</v>
      </c>
      <c r="AO14" s="93">
        <f t="shared" si="0"/>
        <v>0</v>
      </c>
      <c r="AP14" s="93">
        <f t="shared" si="0"/>
        <v>3485738.9068753002</v>
      </c>
      <c r="AQ14" s="93">
        <f t="shared" si="0"/>
        <v>0</v>
      </c>
      <c r="AR14" s="93">
        <f t="shared" si="0"/>
        <v>0</v>
      </c>
      <c r="AS14" s="93">
        <f t="shared" si="0"/>
        <v>0</v>
      </c>
      <c r="AT14" s="93">
        <f t="shared" si="0"/>
        <v>0</v>
      </c>
      <c r="AU14" s="93">
        <f t="shared" si="0"/>
        <v>0</v>
      </c>
      <c r="AV14" s="93">
        <f t="shared" si="0"/>
        <v>2323825.9379168674</v>
      </c>
      <c r="AW14" s="93">
        <f t="shared" si="0"/>
        <v>0</v>
      </c>
      <c r="AX14" s="93">
        <f t="shared" si="0"/>
        <v>0</v>
      </c>
      <c r="AY14" s="93">
        <f t="shared" si="0"/>
        <v>0</v>
      </c>
      <c r="AZ14" s="93">
        <f t="shared" si="0"/>
        <v>0</v>
      </c>
      <c r="BA14" s="93">
        <f t="shared" si="0"/>
        <v>0</v>
      </c>
    </row>
    <row r="15" spans="1:53">
      <c r="A15" s="6"/>
      <c r="B15" s="35"/>
      <c r="C15" s="35"/>
      <c r="D15" s="35"/>
      <c r="E15" s="61"/>
      <c r="F15" s="61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</row>
    <row r="16" spans="1:53">
      <c r="A16" s="172" t="s">
        <v>171</v>
      </c>
      <c r="B16" s="173" t="s">
        <v>171</v>
      </c>
      <c r="C16" s="173" t="s">
        <v>171</v>
      </c>
      <c r="D16" s="173" t="s">
        <v>171</v>
      </c>
      <c r="E16" s="174" t="s">
        <v>171</v>
      </c>
      <c r="F16" s="174" t="s">
        <v>171</v>
      </c>
      <c r="G16" s="173" t="s">
        <v>171</v>
      </c>
      <c r="H16" s="173" t="s">
        <v>171</v>
      </c>
      <c r="I16" s="173" t="s">
        <v>171</v>
      </c>
      <c r="J16" s="173" t="s">
        <v>171</v>
      </c>
      <c r="K16" s="173" t="s">
        <v>171</v>
      </c>
      <c r="L16" s="173" t="s">
        <v>171</v>
      </c>
      <c r="M16" s="173" t="s">
        <v>171</v>
      </c>
      <c r="N16" s="173" t="s">
        <v>171</v>
      </c>
      <c r="O16" s="173" t="s">
        <v>171</v>
      </c>
      <c r="P16" s="173" t="s">
        <v>171</v>
      </c>
      <c r="Q16" s="173" t="s">
        <v>171</v>
      </c>
      <c r="R16" s="173" t="s">
        <v>171</v>
      </c>
      <c r="S16" s="173" t="s">
        <v>171</v>
      </c>
      <c r="T16" s="173" t="s">
        <v>171</v>
      </c>
      <c r="U16" s="173" t="s">
        <v>171</v>
      </c>
      <c r="V16" s="173" t="s">
        <v>171</v>
      </c>
      <c r="W16" s="173" t="s">
        <v>171</v>
      </c>
      <c r="X16" s="173" t="s">
        <v>171</v>
      </c>
      <c r="Y16" s="173" t="s">
        <v>171</v>
      </c>
      <c r="Z16" s="173" t="s">
        <v>171</v>
      </c>
      <c r="AA16" s="173" t="s">
        <v>171</v>
      </c>
      <c r="AB16" s="173" t="s">
        <v>171</v>
      </c>
      <c r="AC16" s="173" t="s">
        <v>171</v>
      </c>
      <c r="AD16" s="173" t="s">
        <v>171</v>
      </c>
      <c r="AE16" s="173" t="s">
        <v>171</v>
      </c>
      <c r="AF16" s="173" t="s">
        <v>171</v>
      </c>
      <c r="AG16" s="173" t="s">
        <v>171</v>
      </c>
      <c r="AH16" s="173" t="s">
        <v>171</v>
      </c>
      <c r="AI16" s="173" t="s">
        <v>171</v>
      </c>
      <c r="AJ16" s="173" t="s">
        <v>171</v>
      </c>
      <c r="AK16" s="173" t="s">
        <v>171</v>
      </c>
      <c r="AL16" s="173" t="s">
        <v>171</v>
      </c>
      <c r="AM16" s="173" t="s">
        <v>171</v>
      </c>
      <c r="AN16" s="173" t="s">
        <v>171</v>
      </c>
      <c r="AO16" s="173" t="s">
        <v>171</v>
      </c>
      <c r="AP16" s="173" t="s">
        <v>171</v>
      </c>
      <c r="AQ16" s="173" t="s">
        <v>171</v>
      </c>
      <c r="AR16" s="173" t="s">
        <v>171</v>
      </c>
      <c r="AS16" s="173" t="s">
        <v>171</v>
      </c>
      <c r="AT16" s="173" t="s">
        <v>171</v>
      </c>
      <c r="AU16" s="173" t="s">
        <v>171</v>
      </c>
      <c r="AV16" s="173" t="s">
        <v>171</v>
      </c>
      <c r="AW16" s="173" t="s">
        <v>171</v>
      </c>
      <c r="AX16" s="173" t="s">
        <v>171</v>
      </c>
      <c r="AY16" s="173" t="s">
        <v>171</v>
      </c>
      <c r="AZ16" s="173" t="s">
        <v>171</v>
      </c>
      <c r="BA16" s="173" t="s">
        <v>171</v>
      </c>
    </row>
    <row r="17" spans="1:53">
      <c r="A17" s="6" t="str">
        <f>Budget!C7</f>
        <v>Preliminaries</v>
      </c>
      <c r="B17" s="35">
        <f>Budget!G7</f>
        <v>406514.48489000002</v>
      </c>
      <c r="C17" s="35">
        <f>Budget!H7</f>
        <v>0</v>
      </c>
      <c r="D17" s="35">
        <f>Budget!I7</f>
        <v>406514.48489000002</v>
      </c>
      <c r="E17" s="61">
        <f>Budget!K7</f>
        <v>45292</v>
      </c>
      <c r="F17" s="61">
        <f>Budget!L7</f>
        <v>45839</v>
      </c>
      <c r="G17" s="35">
        <f>IF(G$5="Actual",SUMIFS(Outflows!$L$7:$L$163,Outflows!$H$7:$H$163,$A17,Outflows!$M$7:$M$163,G$6),IF($A17="Sales VAT",SUM(G$8:G$12)*Inputs!$B$7/(1+Inputs!$B$7),IF(AND(G$6&gt;=$E17,G$6&lt;=$F17,Budget!$M7&gt;0),$D17/Budget!$M7,0)))</f>
        <v>0</v>
      </c>
      <c r="H17" s="35">
        <f>IF(H$5="Actual",SUMIFS(Outflows!$L$7:$L$163,Outflows!$H$7:$H$163,$A17,Outflows!$M$7:$M$163,H$6),IF($A17="Sales VAT",SUM(H$8:H$12)*Inputs!$B$7/(1+Inputs!$B$7),IF(AND(H$6&gt;=$E17,H$6&lt;=$F17,Budget!$M7&gt;0),$D17/Budget!$M7,0)))</f>
        <v>0</v>
      </c>
      <c r="I17" s="35">
        <f>IF(I$5="Actual",SUMIFS(Outflows!$L$7:$L$163,Outflows!$H$7:$H$163,$A17,Outflows!$M$7:$M$163,I$6),IF($A17="Sales VAT",SUM(I$8:I$12)*Inputs!$B$7/(1+Inputs!$B$7),IF(AND(I$6&gt;=$E17,I$6&lt;=$F17,Budget!$M7&gt;0),$D17/Budget!$M7,0)))</f>
        <v>0</v>
      </c>
      <c r="J17" s="35">
        <f>IF(J$5="Actual",SUMIFS(Outflows!$L$7:$L$163,Outflows!$H$7:$H$163,$A17,Outflows!$M$7:$M$163,J$6),IF($A17="Sales VAT",SUM(J$8:J$12)*Inputs!$B$7/(1+Inputs!$B$7),IF(AND(J$6&gt;=$E17,J$6&lt;=$F17,Budget!$M7&gt;0),$D17/Budget!$M7,0)))</f>
        <v>0</v>
      </c>
      <c r="K17" s="35">
        <f>IF(K$5="Actual",SUMIFS(Outflows!$L$7:$L$163,Outflows!$H$7:$H$163,$A17,Outflows!$M$7:$M$163,K$6),IF($A17="Sales VAT",SUM(K$8:K$12)*Inputs!$B$7/(1+Inputs!$B$7),IF(AND(K$6&gt;=$E17,K$6&lt;=$F17,Budget!$M7&gt;0),$D17/Budget!$M7,0)))</f>
        <v>0</v>
      </c>
      <c r="L17" s="35">
        <f>IF(L$5="Actual",SUMIFS(Outflows!$L$7:$L$163,Outflows!$H$7:$H$163,$A17,Outflows!$M$7:$M$163,L$6),IF($A17="Sales VAT",SUM(L$8:L$12)*Inputs!$B$7/(1+Inputs!$B$7),IF(AND(L$6&gt;=$E17,L$6&lt;=$F17,Budget!$M7&gt;0),$D17/Budget!$M7,0)))</f>
        <v>0</v>
      </c>
      <c r="M17" s="35">
        <f>IF(M$5="Actual",SUMIFS(Outflows!$L$7:$L$163,Outflows!$H$7:$H$163,$A17,Outflows!$M$7:$M$163,M$6),IF($A17="Sales VAT",SUM(M$8:M$12)*Inputs!$B$7/(1+Inputs!$B$7),IF(AND(M$6&gt;=$E17,M$6&lt;=$F17,Budget!$M7&gt;0),$D17/Budget!$M7,0)))</f>
        <v>0</v>
      </c>
      <c r="N17" s="35">
        <f>IF(N$5="Actual",SUMIFS(Outflows!$L$7:$L$163,Outflows!$H$7:$H$163,$A17,Outflows!$M$7:$M$163,N$6),IF($A17="Sales VAT",SUM(N$8:N$12)*Inputs!$B$7/(1+Inputs!$B$7),IF(AND(N$6&gt;=$E17,N$6&lt;=$F17,Budget!$M7&gt;0),$D17/Budget!$M7,0)))</f>
        <v>0</v>
      </c>
      <c r="O17" s="35">
        <f>IF(O$5="Actual",SUMIFS(Outflows!$L$7:$L$163,Outflows!$H$7:$H$163,$A17,Outflows!$M$7:$M$163,O$6),IF($A17="Sales VAT",SUM(O$8:O$12)*Inputs!$B$7/(1+Inputs!$B$7),IF(AND(O$6&gt;=$E17,O$6&lt;=$F17,Budget!$M7&gt;0),$D17/Budget!$M7,0)))</f>
        <v>0</v>
      </c>
      <c r="P17" s="35">
        <f>IF(P$5="Actual",SUMIFS(Outflows!$L$7:$L$163,Outflows!$H$7:$H$163,$A17,Outflows!$M$7:$M$163,P$6),IF($A17="Sales VAT",SUM(P$8:P$12)*Inputs!$B$7/(1+Inputs!$B$7),IF(AND(P$6&gt;=$E17,P$6&lt;=$F17,Budget!$M7&gt;0),$D17/Budget!$M7,0)))</f>
        <v>0</v>
      </c>
      <c r="Q17" s="35">
        <f>IF(Q$5="Actual",SUMIFS(Outflows!$L$7:$L$163,Outflows!$H$7:$H$163,$A17,Outflows!$M$7:$M$163,Q$6),IF($A17="Sales VAT",SUM(Q$8:Q$12)*Inputs!$B$7/(1+Inputs!$B$7),IF(AND(Q$6&gt;=$E17,Q$6&lt;=$F17,Budget!$M7&gt;0),$D17/Budget!$M7,0)))</f>
        <v>0</v>
      </c>
      <c r="R17" s="35">
        <f>IF(R$5="Actual",SUMIFS(Outflows!$L$7:$L$163,Outflows!$H$7:$H$163,$A17,Outflows!$M$7:$M$163,R$6),IF($A17="Sales VAT",SUM(R$8:R$12)*Inputs!$B$7/(1+Inputs!$B$7),IF(AND(R$6&gt;=$E17,R$6&lt;=$F17,Budget!$M7&gt;0),$D17/Budget!$M7,0)))</f>
        <v>0</v>
      </c>
      <c r="S17" s="35">
        <f>IF(S$5="Actual",SUMIFS(Outflows!$L$7:$L$163,Outflows!$H$7:$H$163,$A17,Outflows!$M$7:$M$163,S$6),IF($A17="Sales VAT",SUM(S$8:S$12)*Inputs!$B$7/(1+Inputs!$B$7),IF(AND(S$6&gt;=$E17,S$6&lt;=$F17,Budget!$M7&gt;0),$D17/Budget!$M7,0)))</f>
        <v>0</v>
      </c>
      <c r="T17" s="35">
        <f>IF(T$5="Actual",SUMIFS(Outflows!$L$7:$L$163,Outflows!$H$7:$H$163,$A17,Outflows!$M$7:$M$163,T$6),IF($A17="Sales VAT",SUM(T$8:T$12)*Inputs!$B$7/(1+Inputs!$B$7),IF(AND(T$6&gt;=$E17,T$6&lt;=$F17,Budget!$M7&gt;0),$D17/Budget!$M7,0)))</f>
        <v>0</v>
      </c>
      <c r="U17" s="35">
        <f>IF(U$5="Actual",SUMIFS(Outflows!$L$7:$L$163,Outflows!$H$7:$H$163,$A17,Outflows!$M$7:$M$163,U$6),IF($A17="Sales VAT",SUM(U$8:U$12)*Inputs!$B$7/(1+Inputs!$B$7),IF(AND(U$6&gt;=$E17,U$6&lt;=$F17,Budget!$M7&gt;0),$D17/Budget!$M7,0)))</f>
        <v>0</v>
      </c>
      <c r="V17" s="35">
        <f>IF(V$5="Actual",SUMIFS(Outflows!$L$7:$L$163,Outflows!$H$7:$H$163,$A17,Outflows!$M$7:$M$163,V$6),IF($A17="Sales VAT",SUM(V$8:V$12)*Inputs!$B$7/(1+Inputs!$B$7),IF(AND(V$6&gt;=$E17,V$6&lt;=$F17,Budget!$M7&gt;0),$D17/Budget!$M7,0)))</f>
        <v>0</v>
      </c>
      <c r="W17" s="35">
        <f>IF(W$5="Actual",SUMIFS(Outflows!$L$7:$L$163,Outflows!$H$7:$H$163,$A17,Outflows!$M$7:$M$163,W$6),IF($A17="Sales VAT",SUM(W$8:W$12)*Inputs!$B$7/(1+Inputs!$B$7),IF(AND(W$6&gt;=$E17,W$6&lt;=$F17,Budget!$M7&gt;0),$D17/Budget!$M7,0)))</f>
        <v>0</v>
      </c>
      <c r="X17" s="35">
        <f>IF(X$5="Actual",SUMIFS(Outflows!$L$7:$L$163,Outflows!$H$7:$H$163,$A17,Outflows!$M$7:$M$163,X$6),IF($A17="Sales VAT",SUM(X$8:X$12)*Inputs!$B$7/(1+Inputs!$B$7),IF(AND(X$6&gt;=$E17,X$6&lt;=$F17,Budget!$M7&gt;0),$D17/Budget!$M7,0)))</f>
        <v>0</v>
      </c>
      <c r="Y17" s="35">
        <f>IF(Y$5="Actual",SUMIFS(Outflows!$L$7:$L$163,Outflows!$H$7:$H$163,$A17,Outflows!$M$7:$M$163,Y$6),IF($A17="Sales VAT",SUM(Y$8:Y$12)*Inputs!$B$7/(1+Inputs!$B$7),IF(AND(Y$6&gt;=$E17,Y$6&lt;=$F17,Budget!$M7&gt;0),$D17/Budget!$M7,0)))</f>
        <v>0</v>
      </c>
      <c r="Z17" s="35">
        <f>IF(Z$5="Actual",SUMIFS(Outflows!$L$7:$L$163,Outflows!$H$7:$H$163,$A17,Outflows!$M$7:$M$163,Z$6),IF($A17="Sales VAT",SUM(Z$8:Z$12)*Inputs!$B$7/(1+Inputs!$B$7),IF(AND(Z$6&gt;=$E17,Z$6&lt;=$F17,Budget!$M7&gt;0),$D17/Budget!$M7,0)))</f>
        <v>0</v>
      </c>
      <c r="AA17" s="35">
        <f>IF(AA$5="Actual",SUMIFS(Outflows!$L$7:$L$163,Outflows!$H$7:$H$163,$A17,Outflows!$M$7:$M$163,AA$6),IF($A17="Sales VAT",SUM(AA$8:AA$12)*Inputs!$B$7/(1+Inputs!$B$7),IF(AND(AA$6&gt;=$E17,AA$6&lt;=$F17,Budget!$M7&gt;0),$D17/Budget!$M7,0)))</f>
        <v>0</v>
      </c>
      <c r="AB17" s="35">
        <f>IF(AB$5="Actual",SUMIFS(Outflows!$L$7:$L$163,Outflows!$H$7:$H$163,$A17,Outflows!$M$7:$M$163,AB$6),IF($A17="Sales VAT",SUM(AB$8:AB$12)*Inputs!$B$7/(1+Inputs!$B$7),IF(AND(AB$6&gt;=$E17,AB$6&lt;=$F17,Budget!$M7&gt;0),$D17/Budget!$M7,0)))</f>
        <v>0</v>
      </c>
      <c r="AC17" s="35">
        <f>IF(AC$5="Actual",SUMIFS(Outflows!$L$7:$L$163,Outflows!$H$7:$H$163,$A17,Outflows!$M$7:$M$163,AC$6),IF($A17="Sales VAT",SUM(AC$8:AC$12)*Inputs!$B$7/(1+Inputs!$B$7),IF(AND(AC$6&gt;=$E17,AC$6&lt;=$F17,Budget!$M7&gt;0),$D17/Budget!$M7,0)))</f>
        <v>0</v>
      </c>
      <c r="AD17" s="35">
        <f>IF(AD$5="Actual",SUMIFS(Outflows!$L$7:$L$163,Outflows!$H$7:$H$163,$A17,Outflows!$M$7:$M$163,AD$6),IF($A17="Sales VAT",SUM(AD$8:AD$12)*Inputs!$B$7/(1+Inputs!$B$7),IF(AND(AD$6&gt;=$E17,AD$6&lt;=$F17,Budget!$M7&gt;0),$D17/Budget!$M7,0)))</f>
        <v>21395.499204736843</v>
      </c>
      <c r="AE17" s="35">
        <f>IF(AE$5="Actual",SUMIFS(Outflows!$L$7:$L$163,Outflows!$H$7:$H$163,$A17,Outflows!$M$7:$M$163,AE$6),IF($A17="Sales VAT",SUM(AE$8:AE$12)*Inputs!$B$7/(1+Inputs!$B$7),IF(AND(AE$6&gt;=$E17,AE$6&lt;=$F17,Budget!$M7&gt;0),$D17/Budget!$M7,0)))</f>
        <v>21395.499204736843</v>
      </c>
      <c r="AF17" s="35">
        <f>IF(AF$5="Actual",SUMIFS(Outflows!$L$7:$L$163,Outflows!$H$7:$H$163,$A17,Outflows!$M$7:$M$163,AF$6),IF($A17="Sales VAT",SUM(AF$8:AF$12)*Inputs!$B$7/(1+Inputs!$B$7),IF(AND(AF$6&gt;=$E17,AF$6&lt;=$F17,Budget!$M7&gt;0),$D17/Budget!$M7,0)))</f>
        <v>21395.499204736843</v>
      </c>
      <c r="AG17" s="35">
        <f>IF(AG$5="Actual",SUMIFS(Outflows!$L$7:$L$163,Outflows!$H$7:$H$163,$A17,Outflows!$M$7:$M$163,AG$6),IF($A17="Sales VAT",SUM(AG$8:AG$12)*Inputs!$B$7/(1+Inputs!$B$7),IF(AND(AG$6&gt;=$E17,AG$6&lt;=$F17,Budget!$M7&gt;0),$D17/Budget!$M7,0)))</f>
        <v>21395.499204736843</v>
      </c>
      <c r="AH17" s="35">
        <f>IF(AH$5="Actual",SUMIFS(Outflows!$L$7:$L$163,Outflows!$H$7:$H$163,$A17,Outflows!$M$7:$M$163,AH$6),IF($A17="Sales VAT",SUM(AH$8:AH$12)*Inputs!$B$7/(1+Inputs!$B$7),IF(AND(AH$6&gt;=$E17,AH$6&lt;=$F17,Budget!$M7&gt;0),$D17/Budget!$M7,0)))</f>
        <v>21395.499204736843</v>
      </c>
      <c r="AI17" s="35">
        <f>IF(AI$5="Actual",SUMIFS(Outflows!$L$7:$L$163,Outflows!$H$7:$H$163,$A17,Outflows!$M$7:$M$163,AI$6),IF($A17="Sales VAT",SUM(AI$8:AI$12)*Inputs!$B$7/(1+Inputs!$B$7),IF(AND(AI$6&gt;=$E17,AI$6&lt;=$F17,Budget!$M7&gt;0),$D17/Budget!$M7,0)))</f>
        <v>21395.499204736843</v>
      </c>
      <c r="AJ17" s="35">
        <f>IF(AJ$5="Actual",SUMIFS(Outflows!$L$7:$L$163,Outflows!$H$7:$H$163,$A17,Outflows!$M$7:$M$163,AJ$6),IF($A17="Sales VAT",SUM(AJ$8:AJ$12)*Inputs!$B$7/(1+Inputs!$B$7),IF(AND(AJ$6&gt;=$E17,AJ$6&lt;=$F17,Budget!$M7&gt;0),$D17/Budget!$M7,0)))</f>
        <v>21395.499204736843</v>
      </c>
      <c r="AK17" s="35">
        <f>IF(AK$5="Actual",SUMIFS(Outflows!$L$7:$L$163,Outflows!$H$7:$H$163,$A17,Outflows!$M$7:$M$163,AK$6),IF($A17="Sales VAT",SUM(AK$8:AK$12)*Inputs!$B$7/(1+Inputs!$B$7),IF(AND(AK$6&gt;=$E17,AK$6&lt;=$F17,Budget!$M7&gt;0),$D17/Budget!$M7,0)))</f>
        <v>21395.499204736843</v>
      </c>
      <c r="AL17" s="35">
        <f>IF(AL$5="Actual",SUMIFS(Outflows!$L$7:$L$163,Outflows!$H$7:$H$163,$A17,Outflows!$M$7:$M$163,AL$6),IF($A17="Sales VAT",SUM(AL$8:AL$12)*Inputs!$B$7/(1+Inputs!$B$7),IF(AND(AL$6&gt;=$E17,AL$6&lt;=$F17,Budget!$M7&gt;0),$D17/Budget!$M7,0)))</f>
        <v>21395.499204736843</v>
      </c>
      <c r="AM17" s="35">
        <f>IF(AM$5="Actual",SUMIFS(Outflows!$L$7:$L$163,Outflows!$H$7:$H$163,$A17,Outflows!$M$7:$M$163,AM$6),IF($A17="Sales VAT",SUM(AM$8:AM$12)*Inputs!$B$7/(1+Inputs!$B$7),IF(AND(AM$6&gt;=$E17,AM$6&lt;=$F17,Budget!$M7&gt;0),$D17/Budget!$M7,0)))</f>
        <v>21395.499204736843</v>
      </c>
      <c r="AN17" s="35">
        <f>IF(AN$5="Actual",SUMIFS(Outflows!$L$7:$L$163,Outflows!$H$7:$H$163,$A17,Outflows!$M$7:$M$163,AN$6),IF($A17="Sales VAT",SUM(AN$8:AN$12)*Inputs!$B$7/(1+Inputs!$B$7),IF(AND(AN$6&gt;=$E17,AN$6&lt;=$F17,Budget!$M7&gt;0),$D17/Budget!$M7,0)))</f>
        <v>21395.499204736843</v>
      </c>
      <c r="AO17" s="35">
        <f>IF(AO$5="Actual",SUMIFS(Outflows!$L$7:$L$163,Outflows!$H$7:$H$163,$A17,Outflows!$M$7:$M$163,AO$6),IF($A17="Sales VAT",SUM(AO$8:AO$12)*Inputs!$B$7/(1+Inputs!$B$7),IF(AND(AO$6&gt;=$E17,AO$6&lt;=$F17,Budget!$M7&gt;0),$D17/Budget!$M7,0)))</f>
        <v>21395.499204736843</v>
      </c>
      <c r="AP17" s="35">
        <f>IF(AP$5="Actual",SUMIFS(Outflows!$L$7:$L$163,Outflows!$H$7:$H$163,$A17,Outflows!$M$7:$M$163,AP$6),IF($A17="Sales VAT",SUM(AP$8:AP$12)*Inputs!$B$7/(1+Inputs!$B$7),IF(AND(AP$6&gt;=$E17,AP$6&lt;=$F17,Budget!$M7&gt;0),$D17/Budget!$M7,0)))</f>
        <v>21395.499204736843</v>
      </c>
      <c r="AQ17" s="35">
        <f>IF(AQ$5="Actual",SUMIFS(Outflows!$L$7:$L$163,Outflows!$H$7:$H$163,$A17,Outflows!$M$7:$M$163,AQ$6),IF($A17="Sales VAT",SUM(AQ$8:AQ$12)*Inputs!$B$7/(1+Inputs!$B$7),IF(AND(AQ$6&gt;=$E17,AQ$6&lt;=$F17,Budget!$M7&gt;0),$D17/Budget!$M7,0)))</f>
        <v>21395.499204736843</v>
      </c>
      <c r="AR17" s="35">
        <f>IF(AR$5="Actual",SUMIFS(Outflows!$L$7:$L$163,Outflows!$H$7:$H$163,$A17,Outflows!$M$7:$M$163,AR$6),IF($A17="Sales VAT",SUM(AR$8:AR$12)*Inputs!$B$7/(1+Inputs!$B$7),IF(AND(AR$6&gt;=$E17,AR$6&lt;=$F17,Budget!$M7&gt;0),$D17/Budget!$M7,0)))</f>
        <v>21395.499204736843</v>
      </c>
      <c r="AS17" s="35">
        <f>IF(AS$5="Actual",SUMIFS(Outflows!$L$7:$L$163,Outflows!$H$7:$H$163,$A17,Outflows!$M$7:$M$163,AS$6),IF($A17="Sales VAT",SUM(AS$8:AS$12)*Inputs!$B$7/(1+Inputs!$B$7),IF(AND(AS$6&gt;=$E17,AS$6&lt;=$F17,Budget!$M7&gt;0),$D17/Budget!$M7,0)))</f>
        <v>21395.499204736843</v>
      </c>
      <c r="AT17" s="35">
        <f>IF(AT$5="Actual",SUMIFS(Outflows!$L$7:$L$163,Outflows!$H$7:$H$163,$A17,Outflows!$M$7:$M$163,AT$6),IF($A17="Sales VAT",SUM(AT$8:AT$12)*Inputs!$B$7/(1+Inputs!$B$7),IF(AND(AT$6&gt;=$E17,AT$6&lt;=$F17,Budget!$M7&gt;0),$D17/Budget!$M7,0)))</f>
        <v>21395.499204736843</v>
      </c>
      <c r="AU17" s="35">
        <f>IF(AU$5="Actual",SUMIFS(Outflows!$L$7:$L$163,Outflows!$H$7:$H$163,$A17,Outflows!$M$7:$M$163,AU$6),IF($A17="Sales VAT",SUM(AU$8:AU$12)*Inputs!$B$7/(1+Inputs!$B$7),IF(AND(AU$6&gt;=$E17,AU$6&lt;=$F17,Budget!$M7&gt;0),$D17/Budget!$M7,0)))</f>
        <v>21395.499204736843</v>
      </c>
      <c r="AV17" s="35">
        <f>IF(AV$5="Actual",SUMIFS(Outflows!$L$7:$L$163,Outflows!$H$7:$H$163,$A17,Outflows!$M$7:$M$163,AV$6),IF($A17="Sales VAT",SUM(AV$8:AV$12)*Inputs!$B$7/(1+Inputs!$B$7),IF(AND(AV$6&gt;=$E17,AV$6&lt;=$F17,Budget!$M7&gt;0),$D17/Budget!$M7,0)))</f>
        <v>21395.499204736843</v>
      </c>
      <c r="AW17" s="35">
        <f>IF(AW$5="Actual",SUMIFS(Outflows!$L$7:$L$163,Outflows!$H$7:$H$163,$A17,Outflows!$M$7:$M$163,AW$6),IF($A17="Sales VAT",SUM(AW$8:AW$12)*Inputs!$B$7/(1+Inputs!$B$7),IF(AND(AW$6&gt;=$E17,AW$6&lt;=$F17,Budget!$M7&gt;0),$D17/Budget!$M7,0)))</f>
        <v>0</v>
      </c>
      <c r="AX17" s="35">
        <f>IF(AX$5="Actual",SUMIFS(Outflows!$L$7:$L$163,Outflows!$H$7:$H$163,$A17,Outflows!$M$7:$M$163,AX$6),IF($A17="Sales VAT",SUM(AX$8:AX$12)*Inputs!$B$7/(1+Inputs!$B$7),IF(AND(AX$6&gt;=$E17,AX$6&lt;=$F17,Budget!$M7&gt;0),$D17/Budget!$M7,0)))</f>
        <v>0</v>
      </c>
      <c r="AY17" s="35">
        <f>IF(AY$5="Actual",SUMIFS(Outflows!$L$7:$L$163,Outflows!$H$7:$H$163,$A17,Outflows!$M$7:$M$163,AY$6),IF($A17="Sales VAT",SUM(AY$8:AY$12)*Inputs!$B$7/(1+Inputs!$B$7),IF(AND(AY$6&gt;=$E17,AY$6&lt;=$F17,Budget!$M7&gt;0),$D17/Budget!$M7,0)))</f>
        <v>0</v>
      </c>
      <c r="AZ17" s="35">
        <f>IF(AZ$5="Actual",SUMIFS(Outflows!$L$7:$L$163,Outflows!$H$7:$H$163,$A17,Outflows!$M$7:$M$163,AZ$6),IF($A17="Sales VAT",SUM(AZ$8:AZ$12)*Inputs!$B$7/(1+Inputs!$B$7),IF(AND(AZ$6&gt;=$E17,AZ$6&lt;=$F17,Budget!$M7&gt;0),$D17/Budget!$M7,0)))</f>
        <v>0</v>
      </c>
      <c r="BA17" s="35">
        <f>IF(BA$5="Actual",SUMIFS(Outflows!$L$7:$L$163,Outflows!$H$7:$H$163,$A17,Outflows!$M$7:$M$163,BA$6),IF($A17="Sales VAT",SUM(BA$8:BA$12)*Inputs!$B$7/(1+Inputs!$B$7),IF(AND(BA$6&gt;=$E17,BA$6&lt;=$F17,Budget!$M7&gt;0),$D17/Budget!$M7,0)))</f>
        <v>0</v>
      </c>
    </row>
    <row r="18" spans="1:53">
      <c r="A18" s="6" t="str">
        <f>Budget!C8</f>
        <v>Structure &amp; Architecture</v>
      </c>
      <c r="B18" s="35">
        <f>Budget!G8</f>
        <v>3967507.150223</v>
      </c>
      <c r="C18" s="35">
        <f>Budget!H8</f>
        <v>0</v>
      </c>
      <c r="D18" s="35">
        <f>Budget!I8</f>
        <v>3967507.150223</v>
      </c>
      <c r="E18" s="61">
        <f>Budget!K8</f>
        <v>45323</v>
      </c>
      <c r="F18" s="61">
        <f>Budget!L8</f>
        <v>45839</v>
      </c>
      <c r="G18" s="35">
        <f>IF(G$5="Actual",SUMIFS(Outflows!$L$7:$L$163,Outflows!$H$7:$H$163,$A18,Outflows!$M$7:$M$163,G$6),IF($A18="Sales VAT",SUM(G$8:G$12)*Inputs!$B$7/(1+Inputs!$B$7),IF(AND(G$6&gt;=$E18,G$6&lt;=$F18,Budget!$M8&gt;0),$D18/Budget!$M8,0)))</f>
        <v>0</v>
      </c>
      <c r="H18" s="35">
        <f>IF(H$5="Actual",SUMIFS(Outflows!$L$7:$L$163,Outflows!$H$7:$H$163,$A18,Outflows!$M$7:$M$163,H$6),IF($A18="Sales VAT",SUM(H$8:H$12)*Inputs!$B$7/(1+Inputs!$B$7),IF(AND(H$6&gt;=$E18,H$6&lt;=$F18,Budget!$M8&gt;0),$D18/Budget!$M8,0)))</f>
        <v>0</v>
      </c>
      <c r="I18" s="35">
        <f>IF(I$5="Actual",SUMIFS(Outflows!$L$7:$L$163,Outflows!$H$7:$H$163,$A18,Outflows!$M$7:$M$163,I$6),IF($A18="Sales VAT",SUM(I$8:I$12)*Inputs!$B$7/(1+Inputs!$B$7),IF(AND(I$6&gt;=$E18,I$6&lt;=$F18,Budget!$M8&gt;0),$D18/Budget!$M8,0)))</f>
        <v>0</v>
      </c>
      <c r="J18" s="35">
        <f>IF(J$5="Actual",SUMIFS(Outflows!$L$7:$L$163,Outflows!$H$7:$H$163,$A18,Outflows!$M$7:$M$163,J$6),IF($A18="Sales VAT",SUM(J$8:J$12)*Inputs!$B$7/(1+Inputs!$B$7),IF(AND(J$6&gt;=$E18,J$6&lt;=$F18,Budget!$M8&gt;0),$D18/Budget!$M8,0)))</f>
        <v>0</v>
      </c>
      <c r="K18" s="35">
        <f>IF(K$5="Actual",SUMIFS(Outflows!$L$7:$L$163,Outflows!$H$7:$H$163,$A18,Outflows!$M$7:$M$163,K$6),IF($A18="Sales VAT",SUM(K$8:K$12)*Inputs!$B$7/(1+Inputs!$B$7),IF(AND(K$6&gt;=$E18,K$6&lt;=$F18,Budget!$M8&gt;0),$D18/Budget!$M8,0)))</f>
        <v>0</v>
      </c>
      <c r="L18" s="35">
        <f>IF(L$5="Actual",SUMIFS(Outflows!$L$7:$L$163,Outflows!$H$7:$H$163,$A18,Outflows!$M$7:$M$163,L$6),IF($A18="Sales VAT",SUM(L$8:L$12)*Inputs!$B$7/(1+Inputs!$B$7),IF(AND(L$6&gt;=$E18,L$6&lt;=$F18,Budget!$M8&gt;0),$D18/Budget!$M8,0)))</f>
        <v>0</v>
      </c>
      <c r="M18" s="35">
        <f>IF(M$5="Actual",SUMIFS(Outflows!$L$7:$L$163,Outflows!$H$7:$H$163,$A18,Outflows!$M$7:$M$163,M$6),IF($A18="Sales VAT",SUM(M$8:M$12)*Inputs!$B$7/(1+Inputs!$B$7),IF(AND(M$6&gt;=$E18,M$6&lt;=$F18,Budget!$M8&gt;0),$D18/Budget!$M8,0)))</f>
        <v>0</v>
      </c>
      <c r="N18" s="35">
        <f>IF(N$5="Actual",SUMIFS(Outflows!$L$7:$L$163,Outflows!$H$7:$H$163,$A18,Outflows!$M$7:$M$163,N$6),IF($A18="Sales VAT",SUM(N$8:N$12)*Inputs!$B$7/(1+Inputs!$B$7),IF(AND(N$6&gt;=$E18,N$6&lt;=$F18,Budget!$M8&gt;0),$D18/Budget!$M8,0)))</f>
        <v>0</v>
      </c>
      <c r="O18" s="35">
        <f>IF(O$5="Actual",SUMIFS(Outflows!$L$7:$L$163,Outflows!$H$7:$H$163,$A18,Outflows!$M$7:$M$163,O$6),IF($A18="Sales VAT",SUM(O$8:O$12)*Inputs!$B$7/(1+Inputs!$B$7),IF(AND(O$6&gt;=$E18,O$6&lt;=$F18,Budget!$M8&gt;0),$D18/Budget!$M8,0)))</f>
        <v>0</v>
      </c>
      <c r="P18" s="35">
        <f>IF(P$5="Actual",SUMIFS(Outflows!$L$7:$L$163,Outflows!$H$7:$H$163,$A18,Outflows!$M$7:$M$163,P$6),IF($A18="Sales VAT",SUM(P$8:P$12)*Inputs!$B$7/(1+Inputs!$B$7),IF(AND(P$6&gt;=$E18,P$6&lt;=$F18,Budget!$M8&gt;0),$D18/Budget!$M8,0)))</f>
        <v>0</v>
      </c>
      <c r="Q18" s="35">
        <f>IF(Q$5="Actual",SUMIFS(Outflows!$L$7:$L$163,Outflows!$H$7:$H$163,$A18,Outflows!$M$7:$M$163,Q$6),IF($A18="Sales VAT",SUM(Q$8:Q$12)*Inputs!$B$7/(1+Inputs!$B$7),IF(AND(Q$6&gt;=$E18,Q$6&lt;=$F18,Budget!$M8&gt;0),$D18/Budget!$M8,0)))</f>
        <v>0</v>
      </c>
      <c r="R18" s="35">
        <f>IF(R$5="Actual",SUMIFS(Outflows!$L$7:$L$163,Outflows!$H$7:$H$163,$A18,Outflows!$M$7:$M$163,R$6),IF($A18="Sales VAT",SUM(R$8:R$12)*Inputs!$B$7/(1+Inputs!$B$7),IF(AND(R$6&gt;=$E18,R$6&lt;=$F18,Budget!$M8&gt;0),$D18/Budget!$M8,0)))</f>
        <v>0</v>
      </c>
      <c r="S18" s="35">
        <f>IF(S$5="Actual",SUMIFS(Outflows!$L$7:$L$163,Outflows!$H$7:$H$163,$A18,Outflows!$M$7:$M$163,S$6),IF($A18="Sales VAT",SUM(S$8:S$12)*Inputs!$B$7/(1+Inputs!$B$7),IF(AND(S$6&gt;=$E18,S$6&lt;=$F18,Budget!$M8&gt;0),$D18/Budget!$M8,0)))</f>
        <v>0</v>
      </c>
      <c r="T18" s="35">
        <f>IF(T$5="Actual",SUMIFS(Outflows!$L$7:$L$163,Outflows!$H$7:$H$163,$A18,Outflows!$M$7:$M$163,T$6),IF($A18="Sales VAT",SUM(T$8:T$12)*Inputs!$B$7/(1+Inputs!$B$7),IF(AND(T$6&gt;=$E18,T$6&lt;=$F18,Budget!$M8&gt;0),$D18/Budget!$M8,0)))</f>
        <v>0</v>
      </c>
      <c r="U18" s="35">
        <f>IF(U$5="Actual",SUMIFS(Outflows!$L$7:$L$163,Outflows!$H$7:$H$163,$A18,Outflows!$M$7:$M$163,U$6),IF($A18="Sales VAT",SUM(U$8:U$12)*Inputs!$B$7/(1+Inputs!$B$7),IF(AND(U$6&gt;=$E18,U$6&lt;=$F18,Budget!$M8&gt;0),$D18/Budget!$M8,0)))</f>
        <v>0</v>
      </c>
      <c r="V18" s="35">
        <f>IF(V$5="Actual",SUMIFS(Outflows!$L$7:$L$163,Outflows!$H$7:$H$163,$A18,Outflows!$M$7:$M$163,V$6),IF($A18="Sales VAT",SUM(V$8:V$12)*Inputs!$B$7/(1+Inputs!$B$7),IF(AND(V$6&gt;=$E18,V$6&lt;=$F18,Budget!$M8&gt;0),$D18/Budget!$M8,0)))</f>
        <v>0</v>
      </c>
      <c r="W18" s="35">
        <f>IF(W$5="Actual",SUMIFS(Outflows!$L$7:$L$163,Outflows!$H$7:$H$163,$A18,Outflows!$M$7:$M$163,W$6),IF($A18="Sales VAT",SUM(W$8:W$12)*Inputs!$B$7/(1+Inputs!$B$7),IF(AND(W$6&gt;=$E18,W$6&lt;=$F18,Budget!$M8&gt;0),$D18/Budget!$M8,0)))</f>
        <v>0</v>
      </c>
      <c r="X18" s="35">
        <f>IF(X$5="Actual",SUMIFS(Outflows!$L$7:$L$163,Outflows!$H$7:$H$163,$A18,Outflows!$M$7:$M$163,X$6),IF($A18="Sales VAT",SUM(X$8:X$12)*Inputs!$B$7/(1+Inputs!$B$7),IF(AND(X$6&gt;=$E18,X$6&lt;=$F18,Budget!$M8&gt;0),$D18/Budget!$M8,0)))</f>
        <v>0</v>
      </c>
      <c r="Y18" s="35">
        <f>IF(Y$5="Actual",SUMIFS(Outflows!$L$7:$L$163,Outflows!$H$7:$H$163,$A18,Outflows!$M$7:$M$163,Y$6),IF($A18="Sales VAT",SUM(Y$8:Y$12)*Inputs!$B$7/(1+Inputs!$B$7),IF(AND(Y$6&gt;=$E18,Y$6&lt;=$F18,Budget!$M8&gt;0),$D18/Budget!$M8,0)))</f>
        <v>0</v>
      </c>
      <c r="Z18" s="35">
        <f>IF(Z$5="Actual",SUMIFS(Outflows!$L$7:$L$163,Outflows!$H$7:$H$163,$A18,Outflows!$M$7:$M$163,Z$6),IF($A18="Sales VAT",SUM(Z$8:Z$12)*Inputs!$B$7/(1+Inputs!$B$7),IF(AND(Z$6&gt;=$E18,Z$6&lt;=$F18,Budget!$M8&gt;0),$D18/Budget!$M8,0)))</f>
        <v>0</v>
      </c>
      <c r="AA18" s="35">
        <f>IF(AA$5="Actual",SUMIFS(Outflows!$L$7:$L$163,Outflows!$H$7:$H$163,$A18,Outflows!$M$7:$M$163,AA$6),IF($A18="Sales VAT",SUM(AA$8:AA$12)*Inputs!$B$7/(1+Inputs!$B$7),IF(AND(AA$6&gt;=$E18,AA$6&lt;=$F18,Budget!$M8&gt;0),$D18/Budget!$M8,0)))</f>
        <v>0</v>
      </c>
      <c r="AB18" s="35">
        <f>IF(AB$5="Actual",SUMIFS(Outflows!$L$7:$L$163,Outflows!$H$7:$H$163,$A18,Outflows!$M$7:$M$163,AB$6),IF($A18="Sales VAT",SUM(AB$8:AB$12)*Inputs!$B$7/(1+Inputs!$B$7),IF(AND(AB$6&gt;=$E18,AB$6&lt;=$F18,Budget!$M8&gt;0),$D18/Budget!$M8,0)))</f>
        <v>0</v>
      </c>
      <c r="AC18" s="35">
        <f>IF(AC$5="Actual",SUMIFS(Outflows!$L$7:$L$163,Outflows!$H$7:$H$163,$A18,Outflows!$M$7:$M$163,AC$6),IF($A18="Sales VAT",SUM(AC$8:AC$12)*Inputs!$B$7/(1+Inputs!$B$7),IF(AND(AC$6&gt;=$E18,AC$6&lt;=$F18,Budget!$M8&gt;0),$D18/Budget!$M8,0)))</f>
        <v>0</v>
      </c>
      <c r="AD18" s="35">
        <f>IF(AD$5="Actual",SUMIFS(Outflows!$L$7:$L$163,Outflows!$H$7:$H$163,$A18,Outflows!$M$7:$M$163,AD$6),IF($A18="Sales VAT",SUM(AD$8:AD$12)*Inputs!$B$7/(1+Inputs!$B$7),IF(AND(AD$6&gt;=$E18,AD$6&lt;=$F18,Budget!$M8&gt;0),$D18/Budget!$M8,0)))</f>
        <v>0</v>
      </c>
      <c r="AE18" s="35">
        <f>IF(AE$5="Actual",SUMIFS(Outflows!$L$7:$L$163,Outflows!$H$7:$H$163,$A18,Outflows!$M$7:$M$163,AE$6),IF($A18="Sales VAT",SUM(AE$8:AE$12)*Inputs!$B$7/(1+Inputs!$B$7),IF(AND(AE$6&gt;=$E18,AE$6&lt;=$F18,Budget!$M8&gt;0),$D18/Budget!$M8,0)))</f>
        <v>220417.06390127778</v>
      </c>
      <c r="AF18" s="35">
        <f>IF(AF$5="Actual",SUMIFS(Outflows!$L$7:$L$163,Outflows!$H$7:$H$163,$A18,Outflows!$M$7:$M$163,AF$6),IF($A18="Sales VAT",SUM(AF$8:AF$12)*Inputs!$B$7/(1+Inputs!$B$7),IF(AND(AF$6&gt;=$E18,AF$6&lt;=$F18,Budget!$M8&gt;0),$D18/Budget!$M8,0)))</f>
        <v>220417.06390127778</v>
      </c>
      <c r="AG18" s="35">
        <f>IF(AG$5="Actual",SUMIFS(Outflows!$L$7:$L$163,Outflows!$H$7:$H$163,$A18,Outflows!$M$7:$M$163,AG$6),IF($A18="Sales VAT",SUM(AG$8:AG$12)*Inputs!$B$7/(1+Inputs!$B$7),IF(AND(AG$6&gt;=$E18,AG$6&lt;=$F18,Budget!$M8&gt;0),$D18/Budget!$M8,0)))</f>
        <v>220417.06390127778</v>
      </c>
      <c r="AH18" s="35">
        <f>IF(AH$5="Actual",SUMIFS(Outflows!$L$7:$L$163,Outflows!$H$7:$H$163,$A18,Outflows!$M$7:$M$163,AH$6),IF($A18="Sales VAT",SUM(AH$8:AH$12)*Inputs!$B$7/(1+Inputs!$B$7),IF(AND(AH$6&gt;=$E18,AH$6&lt;=$F18,Budget!$M8&gt;0),$D18/Budget!$M8,0)))</f>
        <v>220417.06390127778</v>
      </c>
      <c r="AI18" s="35">
        <f>IF(AI$5="Actual",SUMIFS(Outflows!$L$7:$L$163,Outflows!$H$7:$H$163,$A18,Outflows!$M$7:$M$163,AI$6),IF($A18="Sales VAT",SUM(AI$8:AI$12)*Inputs!$B$7/(1+Inputs!$B$7),IF(AND(AI$6&gt;=$E18,AI$6&lt;=$F18,Budget!$M8&gt;0),$D18/Budget!$M8,0)))</f>
        <v>220417.06390127778</v>
      </c>
      <c r="AJ18" s="35">
        <f>IF(AJ$5="Actual",SUMIFS(Outflows!$L$7:$L$163,Outflows!$H$7:$H$163,$A18,Outflows!$M$7:$M$163,AJ$6),IF($A18="Sales VAT",SUM(AJ$8:AJ$12)*Inputs!$B$7/(1+Inputs!$B$7),IF(AND(AJ$6&gt;=$E18,AJ$6&lt;=$F18,Budget!$M8&gt;0),$D18/Budget!$M8,0)))</f>
        <v>220417.06390127778</v>
      </c>
      <c r="AK18" s="35">
        <f>IF(AK$5="Actual",SUMIFS(Outflows!$L$7:$L$163,Outflows!$H$7:$H$163,$A18,Outflows!$M$7:$M$163,AK$6),IF($A18="Sales VAT",SUM(AK$8:AK$12)*Inputs!$B$7/(1+Inputs!$B$7),IF(AND(AK$6&gt;=$E18,AK$6&lt;=$F18,Budget!$M8&gt;0),$D18/Budget!$M8,0)))</f>
        <v>220417.06390127778</v>
      </c>
      <c r="AL18" s="35">
        <f>IF(AL$5="Actual",SUMIFS(Outflows!$L$7:$L$163,Outflows!$H$7:$H$163,$A18,Outflows!$M$7:$M$163,AL$6),IF($A18="Sales VAT",SUM(AL$8:AL$12)*Inputs!$B$7/(1+Inputs!$B$7),IF(AND(AL$6&gt;=$E18,AL$6&lt;=$F18,Budget!$M8&gt;0),$D18/Budget!$M8,0)))</f>
        <v>220417.06390127778</v>
      </c>
      <c r="AM18" s="35">
        <f>IF(AM$5="Actual",SUMIFS(Outflows!$L$7:$L$163,Outflows!$H$7:$H$163,$A18,Outflows!$M$7:$M$163,AM$6),IF($A18="Sales VAT",SUM(AM$8:AM$12)*Inputs!$B$7/(1+Inputs!$B$7),IF(AND(AM$6&gt;=$E18,AM$6&lt;=$F18,Budget!$M8&gt;0),$D18/Budget!$M8,0)))</f>
        <v>220417.06390127778</v>
      </c>
      <c r="AN18" s="35">
        <f>IF(AN$5="Actual",SUMIFS(Outflows!$L$7:$L$163,Outflows!$H$7:$H$163,$A18,Outflows!$M$7:$M$163,AN$6),IF($A18="Sales VAT",SUM(AN$8:AN$12)*Inputs!$B$7/(1+Inputs!$B$7),IF(AND(AN$6&gt;=$E18,AN$6&lt;=$F18,Budget!$M8&gt;0),$D18/Budget!$M8,0)))</f>
        <v>220417.06390127778</v>
      </c>
      <c r="AO18" s="35">
        <f>IF(AO$5="Actual",SUMIFS(Outflows!$L$7:$L$163,Outflows!$H$7:$H$163,$A18,Outflows!$M$7:$M$163,AO$6),IF($A18="Sales VAT",SUM(AO$8:AO$12)*Inputs!$B$7/(1+Inputs!$B$7),IF(AND(AO$6&gt;=$E18,AO$6&lt;=$F18,Budget!$M8&gt;0),$D18/Budget!$M8,0)))</f>
        <v>220417.06390127778</v>
      </c>
      <c r="AP18" s="35">
        <f>IF(AP$5="Actual",SUMIFS(Outflows!$L$7:$L$163,Outflows!$H$7:$H$163,$A18,Outflows!$M$7:$M$163,AP$6),IF($A18="Sales VAT",SUM(AP$8:AP$12)*Inputs!$B$7/(1+Inputs!$B$7),IF(AND(AP$6&gt;=$E18,AP$6&lt;=$F18,Budget!$M8&gt;0),$D18/Budget!$M8,0)))</f>
        <v>220417.06390127778</v>
      </c>
      <c r="AQ18" s="35">
        <f>IF(AQ$5="Actual",SUMIFS(Outflows!$L$7:$L$163,Outflows!$H$7:$H$163,$A18,Outflows!$M$7:$M$163,AQ$6),IF($A18="Sales VAT",SUM(AQ$8:AQ$12)*Inputs!$B$7/(1+Inputs!$B$7),IF(AND(AQ$6&gt;=$E18,AQ$6&lt;=$F18,Budget!$M8&gt;0),$D18/Budget!$M8,0)))</f>
        <v>220417.06390127778</v>
      </c>
      <c r="AR18" s="35">
        <f>IF(AR$5="Actual",SUMIFS(Outflows!$L$7:$L$163,Outflows!$H$7:$H$163,$A18,Outflows!$M$7:$M$163,AR$6),IF($A18="Sales VAT",SUM(AR$8:AR$12)*Inputs!$B$7/(1+Inputs!$B$7),IF(AND(AR$6&gt;=$E18,AR$6&lt;=$F18,Budget!$M8&gt;0),$D18/Budget!$M8,0)))</f>
        <v>220417.06390127778</v>
      </c>
      <c r="AS18" s="35">
        <f>IF(AS$5="Actual",SUMIFS(Outflows!$L$7:$L$163,Outflows!$H$7:$H$163,$A18,Outflows!$M$7:$M$163,AS$6),IF($A18="Sales VAT",SUM(AS$8:AS$12)*Inputs!$B$7/(1+Inputs!$B$7),IF(AND(AS$6&gt;=$E18,AS$6&lt;=$F18,Budget!$M8&gt;0),$D18/Budget!$M8,0)))</f>
        <v>220417.06390127778</v>
      </c>
      <c r="AT18" s="35">
        <f>IF(AT$5="Actual",SUMIFS(Outflows!$L$7:$L$163,Outflows!$H$7:$H$163,$A18,Outflows!$M$7:$M$163,AT$6),IF($A18="Sales VAT",SUM(AT$8:AT$12)*Inputs!$B$7/(1+Inputs!$B$7),IF(AND(AT$6&gt;=$E18,AT$6&lt;=$F18,Budget!$M8&gt;0),$D18/Budget!$M8,0)))</f>
        <v>220417.06390127778</v>
      </c>
      <c r="AU18" s="35">
        <f>IF(AU$5="Actual",SUMIFS(Outflows!$L$7:$L$163,Outflows!$H$7:$H$163,$A18,Outflows!$M$7:$M$163,AU$6),IF($A18="Sales VAT",SUM(AU$8:AU$12)*Inputs!$B$7/(1+Inputs!$B$7),IF(AND(AU$6&gt;=$E18,AU$6&lt;=$F18,Budget!$M8&gt;0),$D18/Budget!$M8,0)))</f>
        <v>220417.06390127778</v>
      </c>
      <c r="AV18" s="35">
        <f>IF(AV$5="Actual",SUMIFS(Outflows!$L$7:$L$163,Outflows!$H$7:$H$163,$A18,Outflows!$M$7:$M$163,AV$6),IF($A18="Sales VAT",SUM(AV$8:AV$12)*Inputs!$B$7/(1+Inputs!$B$7),IF(AND(AV$6&gt;=$E18,AV$6&lt;=$F18,Budget!$M8&gt;0),$D18/Budget!$M8,0)))</f>
        <v>220417.06390127778</v>
      </c>
      <c r="AW18" s="35">
        <f>IF(AW$5="Actual",SUMIFS(Outflows!$L$7:$L$163,Outflows!$H$7:$H$163,$A18,Outflows!$M$7:$M$163,AW$6),IF($A18="Sales VAT",SUM(AW$8:AW$12)*Inputs!$B$7/(1+Inputs!$B$7),IF(AND(AW$6&gt;=$E18,AW$6&lt;=$F18,Budget!$M8&gt;0),$D18/Budget!$M8,0)))</f>
        <v>0</v>
      </c>
      <c r="AX18" s="35">
        <f>IF(AX$5="Actual",SUMIFS(Outflows!$L$7:$L$163,Outflows!$H$7:$H$163,$A18,Outflows!$M$7:$M$163,AX$6),IF($A18="Sales VAT",SUM(AX$8:AX$12)*Inputs!$B$7/(1+Inputs!$B$7),IF(AND(AX$6&gt;=$E18,AX$6&lt;=$F18,Budget!$M8&gt;0),$D18/Budget!$M8,0)))</f>
        <v>0</v>
      </c>
      <c r="AY18" s="35">
        <f>IF(AY$5="Actual",SUMIFS(Outflows!$L$7:$L$163,Outflows!$H$7:$H$163,$A18,Outflows!$M$7:$M$163,AY$6),IF($A18="Sales VAT",SUM(AY$8:AY$12)*Inputs!$B$7/(1+Inputs!$B$7),IF(AND(AY$6&gt;=$E18,AY$6&lt;=$F18,Budget!$M8&gt;0),$D18/Budget!$M8,0)))</f>
        <v>0</v>
      </c>
      <c r="AZ18" s="35">
        <f>IF(AZ$5="Actual",SUMIFS(Outflows!$L$7:$L$163,Outflows!$H$7:$H$163,$A18,Outflows!$M$7:$M$163,AZ$6),IF($A18="Sales VAT",SUM(AZ$8:AZ$12)*Inputs!$B$7/(1+Inputs!$B$7),IF(AND(AZ$6&gt;=$E18,AZ$6&lt;=$F18,Budget!$M8&gt;0),$D18/Budget!$M8,0)))</f>
        <v>0</v>
      </c>
      <c r="BA18" s="35">
        <f>IF(BA$5="Actual",SUMIFS(Outflows!$L$7:$L$163,Outflows!$H$7:$H$163,$A18,Outflows!$M$7:$M$163,BA$6),IF($A18="Sales VAT",SUM(BA$8:BA$12)*Inputs!$B$7/(1+Inputs!$B$7),IF(AND(BA$6&gt;=$E18,BA$6&lt;=$F18,Budget!$M8&gt;0),$D18/Budget!$M8,0)))</f>
        <v>0</v>
      </c>
    </row>
    <row r="19" spans="1:53">
      <c r="A19" s="6" t="str">
        <f>Budget!C9</f>
        <v>MEP</v>
      </c>
      <c r="B19" s="35">
        <f>Budget!G9</f>
        <v>838926.40153599996</v>
      </c>
      <c r="C19" s="35">
        <f>Budget!H9</f>
        <v>0</v>
      </c>
      <c r="D19" s="35">
        <f>Budget!I9</f>
        <v>838926.40153599996</v>
      </c>
      <c r="E19" s="61">
        <f>Budget!K9</f>
        <v>45323</v>
      </c>
      <c r="F19" s="61">
        <f>Budget!L9</f>
        <v>45839</v>
      </c>
      <c r="G19" s="35">
        <f>IF(G$5="Actual",SUMIFS(Outflows!$L$7:$L$163,Outflows!$H$7:$H$163,$A19,Outflows!$M$7:$M$163,G$6),IF($A19="Sales VAT",SUM(G$8:G$12)*Inputs!$B$7/(1+Inputs!$B$7),IF(AND(G$6&gt;=$E19,G$6&lt;=$F19,Budget!$M9&gt;0),$D19/Budget!$M9,0)))</f>
        <v>0</v>
      </c>
      <c r="H19" s="35">
        <f>IF(H$5="Actual",SUMIFS(Outflows!$L$7:$L$163,Outflows!$H$7:$H$163,$A19,Outflows!$M$7:$M$163,H$6),IF($A19="Sales VAT",SUM(H$8:H$12)*Inputs!$B$7/(1+Inputs!$B$7),IF(AND(H$6&gt;=$E19,H$6&lt;=$F19,Budget!$M9&gt;0),$D19/Budget!$M9,0)))</f>
        <v>0</v>
      </c>
      <c r="I19" s="35">
        <f>IF(I$5="Actual",SUMIFS(Outflows!$L$7:$L$163,Outflows!$H$7:$H$163,$A19,Outflows!$M$7:$M$163,I$6),IF($A19="Sales VAT",SUM(I$8:I$12)*Inputs!$B$7/(1+Inputs!$B$7),IF(AND(I$6&gt;=$E19,I$6&lt;=$F19,Budget!$M9&gt;0),$D19/Budget!$M9,0)))</f>
        <v>0</v>
      </c>
      <c r="J19" s="35">
        <f>IF(J$5="Actual",SUMIFS(Outflows!$L$7:$L$163,Outflows!$H$7:$H$163,$A19,Outflows!$M$7:$M$163,J$6),IF($A19="Sales VAT",SUM(J$8:J$12)*Inputs!$B$7/(1+Inputs!$B$7),IF(AND(J$6&gt;=$E19,J$6&lt;=$F19,Budget!$M9&gt;0),$D19/Budget!$M9,0)))</f>
        <v>0</v>
      </c>
      <c r="K19" s="35">
        <f>IF(K$5="Actual",SUMIFS(Outflows!$L$7:$L$163,Outflows!$H$7:$H$163,$A19,Outflows!$M$7:$M$163,K$6),IF($A19="Sales VAT",SUM(K$8:K$12)*Inputs!$B$7/(1+Inputs!$B$7),IF(AND(K$6&gt;=$E19,K$6&lt;=$F19,Budget!$M9&gt;0),$D19/Budget!$M9,0)))</f>
        <v>0</v>
      </c>
      <c r="L19" s="35">
        <f>IF(L$5="Actual",SUMIFS(Outflows!$L$7:$L$163,Outflows!$H$7:$H$163,$A19,Outflows!$M$7:$M$163,L$6),IF($A19="Sales VAT",SUM(L$8:L$12)*Inputs!$B$7/(1+Inputs!$B$7),IF(AND(L$6&gt;=$E19,L$6&lt;=$F19,Budget!$M9&gt;0),$D19/Budget!$M9,0)))</f>
        <v>0</v>
      </c>
      <c r="M19" s="35">
        <f>IF(M$5="Actual",SUMIFS(Outflows!$L$7:$L$163,Outflows!$H$7:$H$163,$A19,Outflows!$M$7:$M$163,M$6),IF($A19="Sales VAT",SUM(M$8:M$12)*Inputs!$B$7/(1+Inputs!$B$7),IF(AND(M$6&gt;=$E19,M$6&lt;=$F19,Budget!$M9&gt;0),$D19/Budget!$M9,0)))</f>
        <v>0</v>
      </c>
      <c r="N19" s="35">
        <f>IF(N$5="Actual",SUMIFS(Outflows!$L$7:$L$163,Outflows!$H$7:$H$163,$A19,Outflows!$M$7:$M$163,N$6),IF($A19="Sales VAT",SUM(N$8:N$12)*Inputs!$B$7/(1+Inputs!$B$7),IF(AND(N$6&gt;=$E19,N$6&lt;=$F19,Budget!$M9&gt;0),$D19/Budget!$M9,0)))</f>
        <v>0</v>
      </c>
      <c r="O19" s="35">
        <f>IF(O$5="Actual",SUMIFS(Outflows!$L$7:$L$163,Outflows!$H$7:$H$163,$A19,Outflows!$M$7:$M$163,O$6),IF($A19="Sales VAT",SUM(O$8:O$12)*Inputs!$B$7/(1+Inputs!$B$7),IF(AND(O$6&gt;=$E19,O$6&lt;=$F19,Budget!$M9&gt;0),$D19/Budget!$M9,0)))</f>
        <v>0</v>
      </c>
      <c r="P19" s="35">
        <f>IF(P$5="Actual",SUMIFS(Outflows!$L$7:$L$163,Outflows!$H$7:$H$163,$A19,Outflows!$M$7:$M$163,P$6),IF($A19="Sales VAT",SUM(P$8:P$12)*Inputs!$B$7/(1+Inputs!$B$7),IF(AND(P$6&gt;=$E19,P$6&lt;=$F19,Budget!$M9&gt;0),$D19/Budget!$M9,0)))</f>
        <v>0</v>
      </c>
      <c r="Q19" s="35">
        <f>IF(Q$5="Actual",SUMIFS(Outflows!$L$7:$L$163,Outflows!$H$7:$H$163,$A19,Outflows!$M$7:$M$163,Q$6),IF($A19="Sales VAT",SUM(Q$8:Q$12)*Inputs!$B$7/(1+Inputs!$B$7),IF(AND(Q$6&gt;=$E19,Q$6&lt;=$F19,Budget!$M9&gt;0),$D19/Budget!$M9,0)))</f>
        <v>0</v>
      </c>
      <c r="R19" s="35">
        <f>IF(R$5="Actual",SUMIFS(Outflows!$L$7:$L$163,Outflows!$H$7:$H$163,$A19,Outflows!$M$7:$M$163,R$6),IF($A19="Sales VAT",SUM(R$8:R$12)*Inputs!$B$7/(1+Inputs!$B$7),IF(AND(R$6&gt;=$E19,R$6&lt;=$F19,Budget!$M9&gt;0),$D19/Budget!$M9,0)))</f>
        <v>0</v>
      </c>
      <c r="S19" s="35">
        <f>IF(S$5="Actual",SUMIFS(Outflows!$L$7:$L$163,Outflows!$H$7:$H$163,$A19,Outflows!$M$7:$M$163,S$6),IF($A19="Sales VAT",SUM(S$8:S$12)*Inputs!$B$7/(1+Inputs!$B$7),IF(AND(S$6&gt;=$E19,S$6&lt;=$F19,Budget!$M9&gt;0),$D19/Budget!$M9,0)))</f>
        <v>0</v>
      </c>
      <c r="T19" s="35">
        <f>IF(T$5="Actual",SUMIFS(Outflows!$L$7:$L$163,Outflows!$H$7:$H$163,$A19,Outflows!$M$7:$M$163,T$6),IF($A19="Sales VAT",SUM(T$8:T$12)*Inputs!$B$7/(1+Inputs!$B$7),IF(AND(T$6&gt;=$E19,T$6&lt;=$F19,Budget!$M9&gt;0),$D19/Budget!$M9,0)))</f>
        <v>0</v>
      </c>
      <c r="U19" s="35">
        <f>IF(U$5="Actual",SUMIFS(Outflows!$L$7:$L$163,Outflows!$H$7:$H$163,$A19,Outflows!$M$7:$M$163,U$6),IF($A19="Sales VAT",SUM(U$8:U$12)*Inputs!$B$7/(1+Inputs!$B$7),IF(AND(U$6&gt;=$E19,U$6&lt;=$F19,Budget!$M9&gt;0),$D19/Budget!$M9,0)))</f>
        <v>0</v>
      </c>
      <c r="V19" s="35">
        <f>IF(V$5="Actual",SUMIFS(Outflows!$L$7:$L$163,Outflows!$H$7:$H$163,$A19,Outflows!$M$7:$M$163,V$6),IF($A19="Sales VAT",SUM(V$8:V$12)*Inputs!$B$7/(1+Inputs!$B$7),IF(AND(V$6&gt;=$E19,V$6&lt;=$F19,Budget!$M9&gt;0),$D19/Budget!$M9,0)))</f>
        <v>0</v>
      </c>
      <c r="W19" s="35">
        <f>IF(W$5="Actual",SUMIFS(Outflows!$L$7:$L$163,Outflows!$H$7:$H$163,$A19,Outflows!$M$7:$M$163,W$6),IF($A19="Sales VAT",SUM(W$8:W$12)*Inputs!$B$7/(1+Inputs!$B$7),IF(AND(W$6&gt;=$E19,W$6&lt;=$F19,Budget!$M9&gt;0),$D19/Budget!$M9,0)))</f>
        <v>0</v>
      </c>
      <c r="X19" s="35">
        <f>IF(X$5="Actual",SUMIFS(Outflows!$L$7:$L$163,Outflows!$H$7:$H$163,$A19,Outflows!$M$7:$M$163,X$6),IF($A19="Sales VAT",SUM(X$8:X$12)*Inputs!$B$7/(1+Inputs!$B$7),IF(AND(X$6&gt;=$E19,X$6&lt;=$F19,Budget!$M9&gt;0),$D19/Budget!$M9,0)))</f>
        <v>0</v>
      </c>
      <c r="Y19" s="35">
        <f>IF(Y$5="Actual",SUMIFS(Outflows!$L$7:$L$163,Outflows!$H$7:$H$163,$A19,Outflows!$M$7:$M$163,Y$6),IF($A19="Sales VAT",SUM(Y$8:Y$12)*Inputs!$B$7/(1+Inputs!$B$7),IF(AND(Y$6&gt;=$E19,Y$6&lt;=$F19,Budget!$M9&gt;0),$D19/Budget!$M9,0)))</f>
        <v>0</v>
      </c>
      <c r="Z19" s="35">
        <f>IF(Z$5="Actual",SUMIFS(Outflows!$L$7:$L$163,Outflows!$H$7:$H$163,$A19,Outflows!$M$7:$M$163,Z$6),IF($A19="Sales VAT",SUM(Z$8:Z$12)*Inputs!$B$7/(1+Inputs!$B$7),IF(AND(Z$6&gt;=$E19,Z$6&lt;=$F19,Budget!$M9&gt;0),$D19/Budget!$M9,0)))</f>
        <v>0</v>
      </c>
      <c r="AA19" s="35">
        <f>IF(AA$5="Actual",SUMIFS(Outflows!$L$7:$L$163,Outflows!$H$7:$H$163,$A19,Outflows!$M$7:$M$163,AA$6),IF($A19="Sales VAT",SUM(AA$8:AA$12)*Inputs!$B$7/(1+Inputs!$B$7),IF(AND(AA$6&gt;=$E19,AA$6&lt;=$F19,Budget!$M9&gt;0),$D19/Budget!$M9,0)))</f>
        <v>0</v>
      </c>
      <c r="AB19" s="35">
        <f>IF(AB$5="Actual",SUMIFS(Outflows!$L$7:$L$163,Outflows!$H$7:$H$163,$A19,Outflows!$M$7:$M$163,AB$6),IF($A19="Sales VAT",SUM(AB$8:AB$12)*Inputs!$B$7/(1+Inputs!$B$7),IF(AND(AB$6&gt;=$E19,AB$6&lt;=$F19,Budget!$M9&gt;0),$D19/Budget!$M9,0)))</f>
        <v>0</v>
      </c>
      <c r="AC19" s="35">
        <f>IF(AC$5="Actual",SUMIFS(Outflows!$L$7:$L$163,Outflows!$H$7:$H$163,$A19,Outflows!$M$7:$M$163,AC$6),IF($A19="Sales VAT",SUM(AC$8:AC$12)*Inputs!$B$7/(1+Inputs!$B$7),IF(AND(AC$6&gt;=$E19,AC$6&lt;=$F19,Budget!$M9&gt;0),$D19/Budget!$M9,0)))</f>
        <v>0</v>
      </c>
      <c r="AD19" s="35">
        <f>IF(AD$5="Actual",SUMIFS(Outflows!$L$7:$L$163,Outflows!$H$7:$H$163,$A19,Outflows!$M$7:$M$163,AD$6),IF($A19="Sales VAT",SUM(AD$8:AD$12)*Inputs!$B$7/(1+Inputs!$B$7),IF(AND(AD$6&gt;=$E19,AD$6&lt;=$F19,Budget!$M9&gt;0),$D19/Budget!$M9,0)))</f>
        <v>0</v>
      </c>
      <c r="AE19" s="35">
        <f>IF(AE$5="Actual",SUMIFS(Outflows!$L$7:$L$163,Outflows!$H$7:$H$163,$A19,Outflows!$M$7:$M$163,AE$6),IF($A19="Sales VAT",SUM(AE$8:AE$12)*Inputs!$B$7/(1+Inputs!$B$7),IF(AND(AE$6&gt;=$E19,AE$6&lt;=$F19,Budget!$M9&gt;0),$D19/Budget!$M9,0)))</f>
        <v>46607.022307555555</v>
      </c>
      <c r="AF19" s="35">
        <f>IF(AF$5="Actual",SUMIFS(Outflows!$L$7:$L$163,Outflows!$H$7:$H$163,$A19,Outflows!$M$7:$M$163,AF$6),IF($A19="Sales VAT",SUM(AF$8:AF$12)*Inputs!$B$7/(1+Inputs!$B$7),IF(AND(AF$6&gt;=$E19,AF$6&lt;=$F19,Budget!$M9&gt;0),$D19/Budget!$M9,0)))</f>
        <v>46607.022307555555</v>
      </c>
      <c r="AG19" s="35">
        <f>IF(AG$5="Actual",SUMIFS(Outflows!$L$7:$L$163,Outflows!$H$7:$H$163,$A19,Outflows!$M$7:$M$163,AG$6),IF($A19="Sales VAT",SUM(AG$8:AG$12)*Inputs!$B$7/(1+Inputs!$B$7),IF(AND(AG$6&gt;=$E19,AG$6&lt;=$F19,Budget!$M9&gt;0),$D19/Budget!$M9,0)))</f>
        <v>46607.022307555555</v>
      </c>
      <c r="AH19" s="35">
        <f>IF(AH$5="Actual",SUMIFS(Outflows!$L$7:$L$163,Outflows!$H$7:$H$163,$A19,Outflows!$M$7:$M$163,AH$6),IF($A19="Sales VAT",SUM(AH$8:AH$12)*Inputs!$B$7/(1+Inputs!$B$7),IF(AND(AH$6&gt;=$E19,AH$6&lt;=$F19,Budget!$M9&gt;0),$D19/Budget!$M9,0)))</f>
        <v>46607.022307555555</v>
      </c>
      <c r="AI19" s="35">
        <f>IF(AI$5="Actual",SUMIFS(Outflows!$L$7:$L$163,Outflows!$H$7:$H$163,$A19,Outflows!$M$7:$M$163,AI$6),IF($A19="Sales VAT",SUM(AI$8:AI$12)*Inputs!$B$7/(1+Inputs!$B$7),IF(AND(AI$6&gt;=$E19,AI$6&lt;=$F19,Budget!$M9&gt;0),$D19/Budget!$M9,0)))</f>
        <v>46607.022307555555</v>
      </c>
      <c r="AJ19" s="35">
        <f>IF(AJ$5="Actual",SUMIFS(Outflows!$L$7:$L$163,Outflows!$H$7:$H$163,$A19,Outflows!$M$7:$M$163,AJ$6),IF($A19="Sales VAT",SUM(AJ$8:AJ$12)*Inputs!$B$7/(1+Inputs!$B$7),IF(AND(AJ$6&gt;=$E19,AJ$6&lt;=$F19,Budget!$M9&gt;0),$D19/Budget!$M9,0)))</f>
        <v>46607.022307555555</v>
      </c>
      <c r="AK19" s="35">
        <f>IF(AK$5="Actual",SUMIFS(Outflows!$L$7:$L$163,Outflows!$H$7:$H$163,$A19,Outflows!$M$7:$M$163,AK$6),IF($A19="Sales VAT",SUM(AK$8:AK$12)*Inputs!$B$7/(1+Inputs!$B$7),IF(AND(AK$6&gt;=$E19,AK$6&lt;=$F19,Budget!$M9&gt;0),$D19/Budget!$M9,0)))</f>
        <v>46607.022307555555</v>
      </c>
      <c r="AL19" s="35">
        <f>IF(AL$5="Actual",SUMIFS(Outflows!$L$7:$L$163,Outflows!$H$7:$H$163,$A19,Outflows!$M$7:$M$163,AL$6),IF($A19="Sales VAT",SUM(AL$8:AL$12)*Inputs!$B$7/(1+Inputs!$B$7),IF(AND(AL$6&gt;=$E19,AL$6&lt;=$F19,Budget!$M9&gt;0),$D19/Budget!$M9,0)))</f>
        <v>46607.022307555555</v>
      </c>
      <c r="AM19" s="35">
        <f>IF(AM$5="Actual",SUMIFS(Outflows!$L$7:$L$163,Outflows!$H$7:$H$163,$A19,Outflows!$M$7:$M$163,AM$6),IF($A19="Sales VAT",SUM(AM$8:AM$12)*Inputs!$B$7/(1+Inputs!$B$7),IF(AND(AM$6&gt;=$E19,AM$6&lt;=$F19,Budget!$M9&gt;0),$D19/Budget!$M9,0)))</f>
        <v>46607.022307555555</v>
      </c>
      <c r="AN19" s="35">
        <f>IF(AN$5="Actual",SUMIFS(Outflows!$L$7:$L$163,Outflows!$H$7:$H$163,$A19,Outflows!$M$7:$M$163,AN$6),IF($A19="Sales VAT",SUM(AN$8:AN$12)*Inputs!$B$7/(1+Inputs!$B$7),IF(AND(AN$6&gt;=$E19,AN$6&lt;=$F19,Budget!$M9&gt;0),$D19/Budget!$M9,0)))</f>
        <v>46607.022307555555</v>
      </c>
      <c r="AO19" s="35">
        <f>IF(AO$5="Actual",SUMIFS(Outflows!$L$7:$L$163,Outflows!$H$7:$H$163,$A19,Outflows!$M$7:$M$163,AO$6),IF($A19="Sales VAT",SUM(AO$8:AO$12)*Inputs!$B$7/(1+Inputs!$B$7),IF(AND(AO$6&gt;=$E19,AO$6&lt;=$F19,Budget!$M9&gt;0),$D19/Budget!$M9,0)))</f>
        <v>46607.022307555555</v>
      </c>
      <c r="AP19" s="35">
        <f>IF(AP$5="Actual",SUMIFS(Outflows!$L$7:$L$163,Outflows!$H$7:$H$163,$A19,Outflows!$M$7:$M$163,AP$6),IF($A19="Sales VAT",SUM(AP$8:AP$12)*Inputs!$B$7/(1+Inputs!$B$7),IF(AND(AP$6&gt;=$E19,AP$6&lt;=$F19,Budget!$M9&gt;0),$D19/Budget!$M9,0)))</f>
        <v>46607.022307555555</v>
      </c>
      <c r="AQ19" s="35">
        <f>IF(AQ$5="Actual",SUMIFS(Outflows!$L$7:$L$163,Outflows!$H$7:$H$163,$A19,Outflows!$M$7:$M$163,AQ$6),IF($A19="Sales VAT",SUM(AQ$8:AQ$12)*Inputs!$B$7/(1+Inputs!$B$7),IF(AND(AQ$6&gt;=$E19,AQ$6&lt;=$F19,Budget!$M9&gt;0),$D19/Budget!$M9,0)))</f>
        <v>46607.022307555555</v>
      </c>
      <c r="AR19" s="35">
        <f>IF(AR$5="Actual",SUMIFS(Outflows!$L$7:$L$163,Outflows!$H$7:$H$163,$A19,Outflows!$M$7:$M$163,AR$6),IF($A19="Sales VAT",SUM(AR$8:AR$12)*Inputs!$B$7/(1+Inputs!$B$7),IF(AND(AR$6&gt;=$E19,AR$6&lt;=$F19,Budget!$M9&gt;0),$D19/Budget!$M9,0)))</f>
        <v>46607.022307555555</v>
      </c>
      <c r="AS19" s="35">
        <f>IF(AS$5="Actual",SUMIFS(Outflows!$L$7:$L$163,Outflows!$H$7:$H$163,$A19,Outflows!$M$7:$M$163,AS$6),IF($A19="Sales VAT",SUM(AS$8:AS$12)*Inputs!$B$7/(1+Inputs!$B$7),IF(AND(AS$6&gt;=$E19,AS$6&lt;=$F19,Budget!$M9&gt;0),$D19/Budget!$M9,0)))</f>
        <v>46607.022307555555</v>
      </c>
      <c r="AT19" s="35">
        <f>IF(AT$5="Actual",SUMIFS(Outflows!$L$7:$L$163,Outflows!$H$7:$H$163,$A19,Outflows!$M$7:$M$163,AT$6),IF($A19="Sales VAT",SUM(AT$8:AT$12)*Inputs!$B$7/(1+Inputs!$B$7),IF(AND(AT$6&gt;=$E19,AT$6&lt;=$F19,Budget!$M9&gt;0),$D19/Budget!$M9,0)))</f>
        <v>46607.022307555555</v>
      </c>
      <c r="AU19" s="35">
        <f>IF(AU$5="Actual",SUMIFS(Outflows!$L$7:$L$163,Outflows!$H$7:$H$163,$A19,Outflows!$M$7:$M$163,AU$6),IF($A19="Sales VAT",SUM(AU$8:AU$12)*Inputs!$B$7/(1+Inputs!$B$7),IF(AND(AU$6&gt;=$E19,AU$6&lt;=$F19,Budget!$M9&gt;0),$D19/Budget!$M9,0)))</f>
        <v>46607.022307555555</v>
      </c>
      <c r="AV19" s="35">
        <f>IF(AV$5="Actual",SUMIFS(Outflows!$L$7:$L$163,Outflows!$H$7:$H$163,$A19,Outflows!$M$7:$M$163,AV$6),IF($A19="Sales VAT",SUM(AV$8:AV$12)*Inputs!$B$7/(1+Inputs!$B$7),IF(AND(AV$6&gt;=$E19,AV$6&lt;=$F19,Budget!$M9&gt;0),$D19/Budget!$M9,0)))</f>
        <v>46607.022307555555</v>
      </c>
      <c r="AW19" s="35">
        <f>IF(AW$5="Actual",SUMIFS(Outflows!$L$7:$L$163,Outflows!$H$7:$H$163,$A19,Outflows!$M$7:$M$163,AW$6),IF($A19="Sales VAT",SUM(AW$8:AW$12)*Inputs!$B$7/(1+Inputs!$B$7),IF(AND(AW$6&gt;=$E19,AW$6&lt;=$F19,Budget!$M9&gt;0),$D19/Budget!$M9,0)))</f>
        <v>0</v>
      </c>
      <c r="AX19" s="35">
        <f>IF(AX$5="Actual",SUMIFS(Outflows!$L$7:$L$163,Outflows!$H$7:$H$163,$A19,Outflows!$M$7:$M$163,AX$6),IF($A19="Sales VAT",SUM(AX$8:AX$12)*Inputs!$B$7/(1+Inputs!$B$7),IF(AND(AX$6&gt;=$E19,AX$6&lt;=$F19,Budget!$M9&gt;0),$D19/Budget!$M9,0)))</f>
        <v>0</v>
      </c>
      <c r="AY19" s="35">
        <f>IF(AY$5="Actual",SUMIFS(Outflows!$L$7:$L$163,Outflows!$H$7:$H$163,$A19,Outflows!$M$7:$M$163,AY$6),IF($A19="Sales VAT",SUM(AY$8:AY$12)*Inputs!$B$7/(1+Inputs!$B$7),IF(AND(AY$6&gt;=$E19,AY$6&lt;=$F19,Budget!$M9&gt;0),$D19/Budget!$M9,0)))</f>
        <v>0</v>
      </c>
      <c r="AZ19" s="35">
        <f>IF(AZ$5="Actual",SUMIFS(Outflows!$L$7:$L$163,Outflows!$H$7:$H$163,$A19,Outflows!$M$7:$M$163,AZ$6),IF($A19="Sales VAT",SUM(AZ$8:AZ$12)*Inputs!$B$7/(1+Inputs!$B$7),IF(AND(AZ$6&gt;=$E19,AZ$6&lt;=$F19,Budget!$M9&gt;0),$D19/Budget!$M9,0)))</f>
        <v>0</v>
      </c>
      <c r="BA19" s="35">
        <f>IF(BA$5="Actual",SUMIFS(Outflows!$L$7:$L$163,Outflows!$H$7:$H$163,$A19,Outflows!$M$7:$M$163,BA$6),IF($A19="Sales VAT",SUM(BA$8:BA$12)*Inputs!$B$7/(1+Inputs!$B$7),IF(AND(BA$6&gt;=$E19,BA$6&lt;=$F19,Budget!$M9&gt;0),$D19/Budget!$M9,0)))</f>
        <v>0</v>
      </c>
    </row>
    <row r="20" spans="1:53">
      <c r="A20" s="6" t="str">
        <f>Budget!C10</f>
        <v>Provisional Sum</v>
      </c>
      <c r="B20" s="35">
        <f>Budget!G10</f>
        <v>125800</v>
      </c>
      <c r="C20" s="35">
        <f>Budget!H10</f>
        <v>0</v>
      </c>
      <c r="D20" s="35">
        <f>Budget!I10</f>
        <v>125800</v>
      </c>
      <c r="E20" s="61">
        <f>Budget!K10</f>
        <v>45323</v>
      </c>
      <c r="F20" s="61">
        <f>Budget!L10</f>
        <v>45839</v>
      </c>
      <c r="G20" s="35">
        <f>IF(G$5="Actual",SUMIFS(Outflows!$L$7:$L$163,Outflows!$H$7:$H$163,$A20,Outflows!$M$7:$M$163,G$6),IF($A20="Sales VAT",SUM(G$8:G$12)*Inputs!$B$7/(1+Inputs!$B$7),IF(AND(G$6&gt;=$E20,G$6&lt;=$F20,Budget!$M10&gt;0),$D20/Budget!$M10,0)))</f>
        <v>0</v>
      </c>
      <c r="H20" s="35">
        <f>IF(H$5="Actual",SUMIFS(Outflows!$L$7:$L$163,Outflows!$H$7:$H$163,$A20,Outflows!$M$7:$M$163,H$6),IF($A20="Sales VAT",SUM(H$8:H$12)*Inputs!$B$7/(1+Inputs!$B$7),IF(AND(H$6&gt;=$E20,H$6&lt;=$F20,Budget!$M10&gt;0),$D20/Budget!$M10,0)))</f>
        <v>0</v>
      </c>
      <c r="I20" s="35">
        <f>IF(I$5="Actual",SUMIFS(Outflows!$L$7:$L$163,Outflows!$H$7:$H$163,$A20,Outflows!$M$7:$M$163,I$6),IF($A20="Sales VAT",SUM(I$8:I$12)*Inputs!$B$7/(1+Inputs!$B$7),IF(AND(I$6&gt;=$E20,I$6&lt;=$F20,Budget!$M10&gt;0),$D20/Budget!$M10,0)))</f>
        <v>0</v>
      </c>
      <c r="J20" s="35">
        <f>IF(J$5="Actual",SUMIFS(Outflows!$L$7:$L$163,Outflows!$H$7:$H$163,$A20,Outflows!$M$7:$M$163,J$6),IF($A20="Sales VAT",SUM(J$8:J$12)*Inputs!$B$7/(1+Inputs!$B$7),IF(AND(J$6&gt;=$E20,J$6&lt;=$F20,Budget!$M10&gt;0),$D20/Budget!$M10,0)))</f>
        <v>0</v>
      </c>
      <c r="K20" s="35">
        <f>IF(K$5="Actual",SUMIFS(Outflows!$L$7:$L$163,Outflows!$H$7:$H$163,$A20,Outflows!$M$7:$M$163,K$6),IF($A20="Sales VAT",SUM(K$8:K$12)*Inputs!$B$7/(1+Inputs!$B$7),IF(AND(K$6&gt;=$E20,K$6&lt;=$F20,Budget!$M10&gt;0),$D20/Budget!$M10,0)))</f>
        <v>0</v>
      </c>
      <c r="L20" s="35">
        <f>IF(L$5="Actual",SUMIFS(Outflows!$L$7:$L$163,Outflows!$H$7:$H$163,$A20,Outflows!$M$7:$M$163,L$6),IF($A20="Sales VAT",SUM(L$8:L$12)*Inputs!$B$7/(1+Inputs!$B$7),IF(AND(L$6&gt;=$E20,L$6&lt;=$F20,Budget!$M10&gt;0),$D20/Budget!$M10,0)))</f>
        <v>0</v>
      </c>
      <c r="M20" s="35">
        <f>IF(M$5="Actual",SUMIFS(Outflows!$L$7:$L$163,Outflows!$H$7:$H$163,$A20,Outflows!$M$7:$M$163,M$6),IF($A20="Sales VAT",SUM(M$8:M$12)*Inputs!$B$7/(1+Inputs!$B$7),IF(AND(M$6&gt;=$E20,M$6&lt;=$F20,Budget!$M10&gt;0),$D20/Budget!$M10,0)))</f>
        <v>0</v>
      </c>
      <c r="N20" s="35">
        <f>IF(N$5="Actual",SUMIFS(Outflows!$L$7:$L$163,Outflows!$H$7:$H$163,$A20,Outflows!$M$7:$M$163,N$6),IF($A20="Sales VAT",SUM(N$8:N$12)*Inputs!$B$7/(1+Inputs!$B$7),IF(AND(N$6&gt;=$E20,N$6&lt;=$F20,Budget!$M10&gt;0),$D20/Budget!$M10,0)))</f>
        <v>0</v>
      </c>
      <c r="O20" s="35">
        <f>IF(O$5="Actual",SUMIFS(Outflows!$L$7:$L$163,Outflows!$H$7:$H$163,$A20,Outflows!$M$7:$M$163,O$6),IF($A20="Sales VAT",SUM(O$8:O$12)*Inputs!$B$7/(1+Inputs!$B$7),IF(AND(O$6&gt;=$E20,O$6&lt;=$F20,Budget!$M10&gt;0),$D20/Budget!$M10,0)))</f>
        <v>0</v>
      </c>
      <c r="P20" s="35">
        <f>IF(P$5="Actual",SUMIFS(Outflows!$L$7:$L$163,Outflows!$H$7:$H$163,$A20,Outflows!$M$7:$M$163,P$6),IF($A20="Sales VAT",SUM(P$8:P$12)*Inputs!$B$7/(1+Inputs!$B$7),IF(AND(P$6&gt;=$E20,P$6&lt;=$F20,Budget!$M10&gt;0),$D20/Budget!$M10,0)))</f>
        <v>0</v>
      </c>
      <c r="Q20" s="35">
        <f>IF(Q$5="Actual",SUMIFS(Outflows!$L$7:$L$163,Outflows!$H$7:$H$163,$A20,Outflows!$M$7:$M$163,Q$6),IF($A20="Sales VAT",SUM(Q$8:Q$12)*Inputs!$B$7/(1+Inputs!$B$7),IF(AND(Q$6&gt;=$E20,Q$6&lt;=$F20,Budget!$M10&gt;0),$D20/Budget!$M10,0)))</f>
        <v>0</v>
      </c>
      <c r="R20" s="35">
        <f>IF(R$5="Actual",SUMIFS(Outflows!$L$7:$L$163,Outflows!$H$7:$H$163,$A20,Outflows!$M$7:$M$163,R$6),IF($A20="Sales VAT",SUM(R$8:R$12)*Inputs!$B$7/(1+Inputs!$B$7),IF(AND(R$6&gt;=$E20,R$6&lt;=$F20,Budget!$M10&gt;0),$D20/Budget!$M10,0)))</f>
        <v>0</v>
      </c>
      <c r="S20" s="35">
        <f>IF(S$5="Actual",SUMIFS(Outflows!$L$7:$L$163,Outflows!$H$7:$H$163,$A20,Outflows!$M$7:$M$163,S$6),IF($A20="Sales VAT",SUM(S$8:S$12)*Inputs!$B$7/(1+Inputs!$B$7),IF(AND(S$6&gt;=$E20,S$6&lt;=$F20,Budget!$M10&gt;0),$D20/Budget!$M10,0)))</f>
        <v>0</v>
      </c>
      <c r="T20" s="35">
        <f>IF(T$5="Actual",SUMIFS(Outflows!$L$7:$L$163,Outflows!$H$7:$H$163,$A20,Outflows!$M$7:$M$163,T$6),IF($A20="Sales VAT",SUM(T$8:T$12)*Inputs!$B$7/(1+Inputs!$B$7),IF(AND(T$6&gt;=$E20,T$6&lt;=$F20,Budget!$M10&gt;0),$D20/Budget!$M10,0)))</f>
        <v>0</v>
      </c>
      <c r="U20" s="35">
        <f>IF(U$5="Actual",SUMIFS(Outflows!$L$7:$L$163,Outflows!$H$7:$H$163,$A20,Outflows!$M$7:$M$163,U$6),IF($A20="Sales VAT",SUM(U$8:U$12)*Inputs!$B$7/(1+Inputs!$B$7),IF(AND(U$6&gt;=$E20,U$6&lt;=$F20,Budget!$M10&gt;0),$D20/Budget!$M10,0)))</f>
        <v>0</v>
      </c>
      <c r="V20" s="35">
        <f>IF(V$5="Actual",SUMIFS(Outflows!$L$7:$L$163,Outflows!$H$7:$H$163,$A20,Outflows!$M$7:$M$163,V$6),IF($A20="Sales VAT",SUM(V$8:V$12)*Inputs!$B$7/(1+Inputs!$B$7),IF(AND(V$6&gt;=$E20,V$6&lt;=$F20,Budget!$M10&gt;0),$D20/Budget!$M10,0)))</f>
        <v>0</v>
      </c>
      <c r="W20" s="35">
        <f>IF(W$5="Actual",SUMIFS(Outflows!$L$7:$L$163,Outflows!$H$7:$H$163,$A20,Outflows!$M$7:$M$163,W$6),IF($A20="Sales VAT",SUM(W$8:W$12)*Inputs!$B$7/(1+Inputs!$B$7),IF(AND(W$6&gt;=$E20,W$6&lt;=$F20,Budget!$M10&gt;0),$D20/Budget!$M10,0)))</f>
        <v>0</v>
      </c>
      <c r="X20" s="35">
        <f>IF(X$5="Actual",SUMIFS(Outflows!$L$7:$L$163,Outflows!$H$7:$H$163,$A20,Outflows!$M$7:$M$163,X$6),IF($A20="Sales VAT",SUM(X$8:X$12)*Inputs!$B$7/(1+Inputs!$B$7),IF(AND(X$6&gt;=$E20,X$6&lt;=$F20,Budget!$M10&gt;0),$D20/Budget!$M10,0)))</f>
        <v>0</v>
      </c>
      <c r="Y20" s="35">
        <f>IF(Y$5="Actual",SUMIFS(Outflows!$L$7:$L$163,Outflows!$H$7:$H$163,$A20,Outflows!$M$7:$M$163,Y$6),IF($A20="Sales VAT",SUM(Y$8:Y$12)*Inputs!$B$7/(1+Inputs!$B$7),IF(AND(Y$6&gt;=$E20,Y$6&lt;=$F20,Budget!$M10&gt;0),$D20/Budget!$M10,0)))</f>
        <v>0</v>
      </c>
      <c r="Z20" s="35">
        <f>IF(Z$5="Actual",SUMIFS(Outflows!$L$7:$L$163,Outflows!$H$7:$H$163,$A20,Outflows!$M$7:$M$163,Z$6),IF($A20="Sales VAT",SUM(Z$8:Z$12)*Inputs!$B$7/(1+Inputs!$B$7),IF(AND(Z$6&gt;=$E20,Z$6&lt;=$F20,Budget!$M10&gt;0),$D20/Budget!$M10,0)))</f>
        <v>0</v>
      </c>
      <c r="AA20" s="35">
        <f>IF(AA$5="Actual",SUMIFS(Outflows!$L$7:$L$163,Outflows!$H$7:$H$163,$A20,Outflows!$M$7:$M$163,AA$6),IF($A20="Sales VAT",SUM(AA$8:AA$12)*Inputs!$B$7/(1+Inputs!$B$7),IF(AND(AA$6&gt;=$E20,AA$6&lt;=$F20,Budget!$M10&gt;0),$D20/Budget!$M10,0)))</f>
        <v>0</v>
      </c>
      <c r="AB20" s="35">
        <f>IF(AB$5="Actual",SUMIFS(Outflows!$L$7:$L$163,Outflows!$H$7:$H$163,$A20,Outflows!$M$7:$M$163,AB$6),IF($A20="Sales VAT",SUM(AB$8:AB$12)*Inputs!$B$7/(1+Inputs!$B$7),IF(AND(AB$6&gt;=$E20,AB$6&lt;=$F20,Budget!$M10&gt;0),$D20/Budget!$M10,0)))</f>
        <v>0</v>
      </c>
      <c r="AC20" s="35">
        <f>IF(AC$5="Actual",SUMIFS(Outflows!$L$7:$L$163,Outflows!$H$7:$H$163,$A20,Outflows!$M$7:$M$163,AC$6),IF($A20="Sales VAT",SUM(AC$8:AC$12)*Inputs!$B$7/(1+Inputs!$B$7),IF(AND(AC$6&gt;=$E20,AC$6&lt;=$F20,Budget!$M10&gt;0),$D20/Budget!$M10,0)))</f>
        <v>0</v>
      </c>
      <c r="AD20" s="35">
        <f>IF(AD$5="Actual",SUMIFS(Outflows!$L$7:$L$163,Outflows!$H$7:$H$163,$A20,Outflows!$M$7:$M$163,AD$6),IF($A20="Sales VAT",SUM(AD$8:AD$12)*Inputs!$B$7/(1+Inputs!$B$7),IF(AND(AD$6&gt;=$E20,AD$6&lt;=$F20,Budget!$M10&gt;0),$D20/Budget!$M10,0)))</f>
        <v>0</v>
      </c>
      <c r="AE20" s="35">
        <f>IF(AE$5="Actual",SUMIFS(Outflows!$L$7:$L$163,Outflows!$H$7:$H$163,$A20,Outflows!$M$7:$M$163,AE$6),IF($A20="Sales VAT",SUM(AE$8:AE$12)*Inputs!$B$7/(1+Inputs!$B$7),IF(AND(AE$6&gt;=$E20,AE$6&lt;=$F20,Budget!$M10&gt;0),$D20/Budget!$M10,0)))</f>
        <v>6988.8888888888887</v>
      </c>
      <c r="AF20" s="35">
        <f>IF(AF$5="Actual",SUMIFS(Outflows!$L$7:$L$163,Outflows!$H$7:$H$163,$A20,Outflows!$M$7:$M$163,AF$6),IF($A20="Sales VAT",SUM(AF$8:AF$12)*Inputs!$B$7/(1+Inputs!$B$7),IF(AND(AF$6&gt;=$E20,AF$6&lt;=$F20,Budget!$M10&gt;0),$D20/Budget!$M10,0)))</f>
        <v>6988.8888888888887</v>
      </c>
      <c r="AG20" s="35">
        <f>IF(AG$5="Actual",SUMIFS(Outflows!$L$7:$L$163,Outflows!$H$7:$H$163,$A20,Outflows!$M$7:$M$163,AG$6),IF($A20="Sales VAT",SUM(AG$8:AG$12)*Inputs!$B$7/(1+Inputs!$B$7),IF(AND(AG$6&gt;=$E20,AG$6&lt;=$F20,Budget!$M10&gt;0),$D20/Budget!$M10,0)))</f>
        <v>6988.8888888888887</v>
      </c>
      <c r="AH20" s="35">
        <f>IF(AH$5="Actual",SUMIFS(Outflows!$L$7:$L$163,Outflows!$H$7:$H$163,$A20,Outflows!$M$7:$M$163,AH$6),IF($A20="Sales VAT",SUM(AH$8:AH$12)*Inputs!$B$7/(1+Inputs!$B$7),IF(AND(AH$6&gt;=$E20,AH$6&lt;=$F20,Budget!$M10&gt;0),$D20/Budget!$M10,0)))</f>
        <v>6988.8888888888887</v>
      </c>
      <c r="AI20" s="35">
        <f>IF(AI$5="Actual",SUMIFS(Outflows!$L$7:$L$163,Outflows!$H$7:$H$163,$A20,Outflows!$M$7:$M$163,AI$6),IF($A20="Sales VAT",SUM(AI$8:AI$12)*Inputs!$B$7/(1+Inputs!$B$7),IF(AND(AI$6&gt;=$E20,AI$6&lt;=$F20,Budget!$M10&gt;0),$D20/Budget!$M10,0)))</f>
        <v>6988.8888888888887</v>
      </c>
      <c r="AJ20" s="35">
        <f>IF(AJ$5="Actual",SUMIFS(Outflows!$L$7:$L$163,Outflows!$H$7:$H$163,$A20,Outflows!$M$7:$M$163,AJ$6),IF($A20="Sales VAT",SUM(AJ$8:AJ$12)*Inputs!$B$7/(1+Inputs!$B$7),IF(AND(AJ$6&gt;=$E20,AJ$6&lt;=$F20,Budget!$M10&gt;0),$D20/Budget!$M10,0)))</f>
        <v>6988.8888888888887</v>
      </c>
      <c r="AK20" s="35">
        <f>IF(AK$5="Actual",SUMIFS(Outflows!$L$7:$L$163,Outflows!$H$7:$H$163,$A20,Outflows!$M$7:$M$163,AK$6),IF($A20="Sales VAT",SUM(AK$8:AK$12)*Inputs!$B$7/(1+Inputs!$B$7),IF(AND(AK$6&gt;=$E20,AK$6&lt;=$F20,Budget!$M10&gt;0),$D20/Budget!$M10,0)))</f>
        <v>6988.8888888888887</v>
      </c>
      <c r="AL20" s="35">
        <f>IF(AL$5="Actual",SUMIFS(Outflows!$L$7:$L$163,Outflows!$H$7:$H$163,$A20,Outflows!$M$7:$M$163,AL$6),IF($A20="Sales VAT",SUM(AL$8:AL$12)*Inputs!$B$7/(1+Inputs!$B$7),IF(AND(AL$6&gt;=$E20,AL$6&lt;=$F20,Budget!$M10&gt;0),$D20/Budget!$M10,0)))</f>
        <v>6988.8888888888887</v>
      </c>
      <c r="AM20" s="35">
        <f>IF(AM$5="Actual",SUMIFS(Outflows!$L$7:$L$163,Outflows!$H$7:$H$163,$A20,Outflows!$M$7:$M$163,AM$6),IF($A20="Sales VAT",SUM(AM$8:AM$12)*Inputs!$B$7/(1+Inputs!$B$7),IF(AND(AM$6&gt;=$E20,AM$6&lt;=$F20,Budget!$M10&gt;0),$D20/Budget!$M10,0)))</f>
        <v>6988.8888888888887</v>
      </c>
      <c r="AN20" s="35">
        <f>IF(AN$5="Actual",SUMIFS(Outflows!$L$7:$L$163,Outflows!$H$7:$H$163,$A20,Outflows!$M$7:$M$163,AN$6),IF($A20="Sales VAT",SUM(AN$8:AN$12)*Inputs!$B$7/(1+Inputs!$B$7),IF(AND(AN$6&gt;=$E20,AN$6&lt;=$F20,Budget!$M10&gt;0),$D20/Budget!$M10,0)))</f>
        <v>6988.8888888888887</v>
      </c>
      <c r="AO20" s="35">
        <f>IF(AO$5="Actual",SUMIFS(Outflows!$L$7:$L$163,Outflows!$H$7:$H$163,$A20,Outflows!$M$7:$M$163,AO$6),IF($A20="Sales VAT",SUM(AO$8:AO$12)*Inputs!$B$7/(1+Inputs!$B$7),IF(AND(AO$6&gt;=$E20,AO$6&lt;=$F20,Budget!$M10&gt;0),$D20/Budget!$M10,0)))</f>
        <v>6988.8888888888887</v>
      </c>
      <c r="AP20" s="35">
        <f>IF(AP$5="Actual",SUMIFS(Outflows!$L$7:$L$163,Outflows!$H$7:$H$163,$A20,Outflows!$M$7:$M$163,AP$6),IF($A20="Sales VAT",SUM(AP$8:AP$12)*Inputs!$B$7/(1+Inputs!$B$7),IF(AND(AP$6&gt;=$E20,AP$6&lt;=$F20,Budget!$M10&gt;0),$D20/Budget!$M10,0)))</f>
        <v>6988.8888888888887</v>
      </c>
      <c r="AQ20" s="35">
        <f>IF(AQ$5="Actual",SUMIFS(Outflows!$L$7:$L$163,Outflows!$H$7:$H$163,$A20,Outflows!$M$7:$M$163,AQ$6),IF($A20="Sales VAT",SUM(AQ$8:AQ$12)*Inputs!$B$7/(1+Inputs!$B$7),IF(AND(AQ$6&gt;=$E20,AQ$6&lt;=$F20,Budget!$M10&gt;0),$D20/Budget!$M10,0)))</f>
        <v>6988.8888888888887</v>
      </c>
      <c r="AR20" s="35">
        <f>IF(AR$5="Actual",SUMIFS(Outflows!$L$7:$L$163,Outflows!$H$7:$H$163,$A20,Outflows!$M$7:$M$163,AR$6),IF($A20="Sales VAT",SUM(AR$8:AR$12)*Inputs!$B$7/(1+Inputs!$B$7),IF(AND(AR$6&gt;=$E20,AR$6&lt;=$F20,Budget!$M10&gt;0),$D20/Budget!$M10,0)))</f>
        <v>6988.8888888888887</v>
      </c>
      <c r="AS20" s="35">
        <f>IF(AS$5="Actual",SUMIFS(Outflows!$L$7:$L$163,Outflows!$H$7:$H$163,$A20,Outflows!$M$7:$M$163,AS$6),IF($A20="Sales VAT",SUM(AS$8:AS$12)*Inputs!$B$7/(1+Inputs!$B$7),IF(AND(AS$6&gt;=$E20,AS$6&lt;=$F20,Budget!$M10&gt;0),$D20/Budget!$M10,0)))</f>
        <v>6988.8888888888887</v>
      </c>
      <c r="AT20" s="35">
        <f>IF(AT$5="Actual",SUMIFS(Outflows!$L$7:$L$163,Outflows!$H$7:$H$163,$A20,Outflows!$M$7:$M$163,AT$6),IF($A20="Sales VAT",SUM(AT$8:AT$12)*Inputs!$B$7/(1+Inputs!$B$7),IF(AND(AT$6&gt;=$E20,AT$6&lt;=$F20,Budget!$M10&gt;0),$D20/Budget!$M10,0)))</f>
        <v>6988.8888888888887</v>
      </c>
      <c r="AU20" s="35">
        <f>IF(AU$5="Actual",SUMIFS(Outflows!$L$7:$L$163,Outflows!$H$7:$H$163,$A20,Outflows!$M$7:$M$163,AU$6),IF($A20="Sales VAT",SUM(AU$8:AU$12)*Inputs!$B$7/(1+Inputs!$B$7),IF(AND(AU$6&gt;=$E20,AU$6&lt;=$F20,Budget!$M10&gt;0),$D20/Budget!$M10,0)))</f>
        <v>6988.8888888888887</v>
      </c>
      <c r="AV20" s="35">
        <f>IF(AV$5="Actual",SUMIFS(Outflows!$L$7:$L$163,Outflows!$H$7:$H$163,$A20,Outflows!$M$7:$M$163,AV$6),IF($A20="Sales VAT",SUM(AV$8:AV$12)*Inputs!$B$7/(1+Inputs!$B$7),IF(AND(AV$6&gt;=$E20,AV$6&lt;=$F20,Budget!$M10&gt;0),$D20/Budget!$M10,0)))</f>
        <v>6988.8888888888887</v>
      </c>
      <c r="AW20" s="35">
        <f>IF(AW$5="Actual",SUMIFS(Outflows!$L$7:$L$163,Outflows!$H$7:$H$163,$A20,Outflows!$M$7:$M$163,AW$6),IF($A20="Sales VAT",SUM(AW$8:AW$12)*Inputs!$B$7/(1+Inputs!$B$7),IF(AND(AW$6&gt;=$E20,AW$6&lt;=$F20,Budget!$M10&gt;0),$D20/Budget!$M10,0)))</f>
        <v>0</v>
      </c>
      <c r="AX20" s="35">
        <f>IF(AX$5="Actual",SUMIFS(Outflows!$L$7:$L$163,Outflows!$H$7:$H$163,$A20,Outflows!$M$7:$M$163,AX$6),IF($A20="Sales VAT",SUM(AX$8:AX$12)*Inputs!$B$7/(1+Inputs!$B$7),IF(AND(AX$6&gt;=$E20,AX$6&lt;=$F20,Budget!$M10&gt;0),$D20/Budget!$M10,0)))</f>
        <v>0</v>
      </c>
      <c r="AY20" s="35">
        <f>IF(AY$5="Actual",SUMIFS(Outflows!$L$7:$L$163,Outflows!$H$7:$H$163,$A20,Outflows!$M$7:$M$163,AY$6),IF($A20="Sales VAT",SUM(AY$8:AY$12)*Inputs!$B$7/(1+Inputs!$B$7),IF(AND(AY$6&gt;=$E20,AY$6&lt;=$F20,Budget!$M10&gt;0),$D20/Budget!$M10,0)))</f>
        <v>0</v>
      </c>
      <c r="AZ20" s="35">
        <f>IF(AZ$5="Actual",SUMIFS(Outflows!$L$7:$L$163,Outflows!$H$7:$H$163,$A20,Outflows!$M$7:$M$163,AZ$6),IF($A20="Sales VAT",SUM(AZ$8:AZ$12)*Inputs!$B$7/(1+Inputs!$B$7),IF(AND(AZ$6&gt;=$E20,AZ$6&lt;=$F20,Budget!$M10&gt;0),$D20/Budget!$M10,0)))</f>
        <v>0</v>
      </c>
      <c r="BA20" s="35">
        <f>IF(BA$5="Actual",SUMIFS(Outflows!$L$7:$L$163,Outflows!$H$7:$H$163,$A20,Outflows!$M$7:$M$163,BA$6),IF($A20="Sales VAT",SUM(BA$8:BA$12)*Inputs!$B$7/(1+Inputs!$B$7),IF(AND(BA$6&gt;=$E20,BA$6&lt;=$F20,Budget!$M10&gt;0),$D20/Budget!$M10,0)))</f>
        <v>0</v>
      </c>
    </row>
    <row r="21" spans="1:53">
      <c r="A21" s="6" t="str">
        <f>Budget!C11</f>
        <v>Landscaping</v>
      </c>
      <c r="B21" s="35">
        <f>Budget!G11</f>
        <v>175000</v>
      </c>
      <c r="C21" s="35">
        <f>Budget!H11</f>
        <v>0</v>
      </c>
      <c r="D21" s="35">
        <f>Budget!I11</f>
        <v>175000</v>
      </c>
      <c r="E21" s="61">
        <f>Budget!K11</f>
        <v>45505</v>
      </c>
      <c r="F21" s="61">
        <f>Budget!L11</f>
        <v>45839</v>
      </c>
      <c r="G21" s="35">
        <f>IF(G$5="Actual",SUMIFS(Outflows!$L$7:$L$163,Outflows!$H$7:$H$163,$A21,Outflows!$M$7:$M$163,G$6),IF($A21="Sales VAT",SUM(G$8:G$12)*Inputs!$B$7/(1+Inputs!$B$7),IF(AND(G$6&gt;=$E21,G$6&lt;=$F21,Budget!$M11&gt;0),$D21/Budget!$M11,0)))</f>
        <v>0</v>
      </c>
      <c r="H21" s="35">
        <f>IF(H$5="Actual",SUMIFS(Outflows!$L$7:$L$163,Outflows!$H$7:$H$163,$A21,Outflows!$M$7:$M$163,H$6),IF($A21="Sales VAT",SUM(H$8:H$12)*Inputs!$B$7/(1+Inputs!$B$7),IF(AND(H$6&gt;=$E21,H$6&lt;=$F21,Budget!$M11&gt;0),$D21/Budget!$M11,0)))</f>
        <v>0</v>
      </c>
      <c r="I21" s="35">
        <f>IF(I$5="Actual",SUMIFS(Outflows!$L$7:$L$163,Outflows!$H$7:$H$163,$A21,Outflows!$M$7:$M$163,I$6),IF($A21="Sales VAT",SUM(I$8:I$12)*Inputs!$B$7/(1+Inputs!$B$7),IF(AND(I$6&gt;=$E21,I$6&lt;=$F21,Budget!$M11&gt;0),$D21/Budget!$M11,0)))</f>
        <v>0</v>
      </c>
      <c r="J21" s="35">
        <f>IF(J$5="Actual",SUMIFS(Outflows!$L$7:$L$163,Outflows!$H$7:$H$163,$A21,Outflows!$M$7:$M$163,J$6),IF($A21="Sales VAT",SUM(J$8:J$12)*Inputs!$B$7/(1+Inputs!$B$7),IF(AND(J$6&gt;=$E21,J$6&lt;=$F21,Budget!$M11&gt;0),$D21/Budget!$M11,0)))</f>
        <v>0</v>
      </c>
      <c r="K21" s="35">
        <f>IF(K$5="Actual",SUMIFS(Outflows!$L$7:$L$163,Outflows!$H$7:$H$163,$A21,Outflows!$M$7:$M$163,K$6),IF($A21="Sales VAT",SUM(K$8:K$12)*Inputs!$B$7/(1+Inputs!$B$7),IF(AND(K$6&gt;=$E21,K$6&lt;=$F21,Budget!$M11&gt;0),$D21/Budget!$M11,0)))</f>
        <v>0</v>
      </c>
      <c r="L21" s="35">
        <f>IF(L$5="Actual",SUMIFS(Outflows!$L$7:$L$163,Outflows!$H$7:$H$163,$A21,Outflows!$M$7:$M$163,L$6),IF($A21="Sales VAT",SUM(L$8:L$12)*Inputs!$B$7/(1+Inputs!$B$7),IF(AND(L$6&gt;=$E21,L$6&lt;=$F21,Budget!$M11&gt;0),$D21/Budget!$M11,0)))</f>
        <v>0</v>
      </c>
      <c r="M21" s="35">
        <f>IF(M$5="Actual",SUMIFS(Outflows!$L$7:$L$163,Outflows!$H$7:$H$163,$A21,Outflows!$M$7:$M$163,M$6),IF($A21="Sales VAT",SUM(M$8:M$12)*Inputs!$B$7/(1+Inputs!$B$7),IF(AND(M$6&gt;=$E21,M$6&lt;=$F21,Budget!$M11&gt;0),$D21/Budget!$M11,0)))</f>
        <v>0</v>
      </c>
      <c r="N21" s="35">
        <f>IF(N$5="Actual",SUMIFS(Outflows!$L$7:$L$163,Outflows!$H$7:$H$163,$A21,Outflows!$M$7:$M$163,N$6),IF($A21="Sales VAT",SUM(N$8:N$12)*Inputs!$B$7/(1+Inputs!$B$7),IF(AND(N$6&gt;=$E21,N$6&lt;=$F21,Budget!$M11&gt;0),$D21/Budget!$M11,0)))</f>
        <v>0</v>
      </c>
      <c r="O21" s="35">
        <f>IF(O$5="Actual",SUMIFS(Outflows!$L$7:$L$163,Outflows!$H$7:$H$163,$A21,Outflows!$M$7:$M$163,O$6),IF($A21="Sales VAT",SUM(O$8:O$12)*Inputs!$B$7/(1+Inputs!$B$7),IF(AND(O$6&gt;=$E21,O$6&lt;=$F21,Budget!$M11&gt;0),$D21/Budget!$M11,0)))</f>
        <v>0</v>
      </c>
      <c r="P21" s="35">
        <f>IF(P$5="Actual",SUMIFS(Outflows!$L$7:$L$163,Outflows!$H$7:$H$163,$A21,Outflows!$M$7:$M$163,P$6),IF($A21="Sales VAT",SUM(P$8:P$12)*Inputs!$B$7/(1+Inputs!$B$7),IF(AND(P$6&gt;=$E21,P$6&lt;=$F21,Budget!$M11&gt;0),$D21/Budget!$M11,0)))</f>
        <v>0</v>
      </c>
      <c r="Q21" s="35">
        <f>IF(Q$5="Actual",SUMIFS(Outflows!$L$7:$L$163,Outflows!$H$7:$H$163,$A21,Outflows!$M$7:$M$163,Q$6),IF($A21="Sales VAT",SUM(Q$8:Q$12)*Inputs!$B$7/(1+Inputs!$B$7),IF(AND(Q$6&gt;=$E21,Q$6&lt;=$F21,Budget!$M11&gt;0),$D21/Budget!$M11,0)))</f>
        <v>0</v>
      </c>
      <c r="R21" s="35">
        <f>IF(R$5="Actual",SUMIFS(Outflows!$L$7:$L$163,Outflows!$H$7:$H$163,$A21,Outflows!$M$7:$M$163,R$6),IF($A21="Sales VAT",SUM(R$8:R$12)*Inputs!$B$7/(1+Inputs!$B$7),IF(AND(R$6&gt;=$E21,R$6&lt;=$F21,Budget!$M11&gt;0),$D21/Budget!$M11,0)))</f>
        <v>0</v>
      </c>
      <c r="S21" s="35">
        <f>IF(S$5="Actual",SUMIFS(Outflows!$L$7:$L$163,Outflows!$H$7:$H$163,$A21,Outflows!$M$7:$M$163,S$6),IF($A21="Sales VAT",SUM(S$8:S$12)*Inputs!$B$7/(1+Inputs!$B$7),IF(AND(S$6&gt;=$E21,S$6&lt;=$F21,Budget!$M11&gt;0),$D21/Budget!$M11,0)))</f>
        <v>0</v>
      </c>
      <c r="T21" s="35">
        <f>IF(T$5="Actual",SUMIFS(Outflows!$L$7:$L$163,Outflows!$H$7:$H$163,$A21,Outflows!$M$7:$M$163,T$6),IF($A21="Sales VAT",SUM(T$8:T$12)*Inputs!$B$7/(1+Inputs!$B$7),IF(AND(T$6&gt;=$E21,T$6&lt;=$F21,Budget!$M11&gt;0),$D21/Budget!$M11,0)))</f>
        <v>0</v>
      </c>
      <c r="U21" s="35">
        <f>IF(U$5="Actual",SUMIFS(Outflows!$L$7:$L$163,Outflows!$H$7:$H$163,$A21,Outflows!$M$7:$M$163,U$6),IF($A21="Sales VAT",SUM(U$8:U$12)*Inputs!$B$7/(1+Inputs!$B$7),IF(AND(U$6&gt;=$E21,U$6&lt;=$F21,Budget!$M11&gt;0),$D21/Budget!$M11,0)))</f>
        <v>0</v>
      </c>
      <c r="V21" s="35">
        <f>IF(V$5="Actual",SUMIFS(Outflows!$L$7:$L$163,Outflows!$H$7:$H$163,$A21,Outflows!$M$7:$M$163,V$6),IF($A21="Sales VAT",SUM(V$8:V$12)*Inputs!$B$7/(1+Inputs!$B$7),IF(AND(V$6&gt;=$E21,V$6&lt;=$F21,Budget!$M11&gt;0),$D21/Budget!$M11,0)))</f>
        <v>0</v>
      </c>
      <c r="W21" s="35">
        <f>IF(W$5="Actual",SUMIFS(Outflows!$L$7:$L$163,Outflows!$H$7:$H$163,$A21,Outflows!$M$7:$M$163,W$6),IF($A21="Sales VAT",SUM(W$8:W$12)*Inputs!$B$7/(1+Inputs!$B$7),IF(AND(W$6&gt;=$E21,W$6&lt;=$F21,Budget!$M11&gt;0),$D21/Budget!$M11,0)))</f>
        <v>0</v>
      </c>
      <c r="X21" s="35">
        <f>IF(X$5="Actual",SUMIFS(Outflows!$L$7:$L$163,Outflows!$H$7:$H$163,$A21,Outflows!$M$7:$M$163,X$6),IF($A21="Sales VAT",SUM(X$8:X$12)*Inputs!$B$7/(1+Inputs!$B$7),IF(AND(X$6&gt;=$E21,X$6&lt;=$F21,Budget!$M11&gt;0),$D21/Budget!$M11,0)))</f>
        <v>0</v>
      </c>
      <c r="Y21" s="35">
        <f>IF(Y$5="Actual",SUMIFS(Outflows!$L$7:$L$163,Outflows!$H$7:$H$163,$A21,Outflows!$M$7:$M$163,Y$6),IF($A21="Sales VAT",SUM(Y$8:Y$12)*Inputs!$B$7/(1+Inputs!$B$7),IF(AND(Y$6&gt;=$E21,Y$6&lt;=$F21,Budget!$M11&gt;0),$D21/Budget!$M11,0)))</f>
        <v>0</v>
      </c>
      <c r="Z21" s="35">
        <f>IF(Z$5="Actual",SUMIFS(Outflows!$L$7:$L$163,Outflows!$H$7:$H$163,$A21,Outflows!$M$7:$M$163,Z$6),IF($A21="Sales VAT",SUM(Z$8:Z$12)*Inputs!$B$7/(1+Inputs!$B$7),IF(AND(Z$6&gt;=$E21,Z$6&lt;=$F21,Budget!$M11&gt;0),$D21/Budget!$M11,0)))</f>
        <v>0</v>
      </c>
      <c r="AA21" s="35">
        <f>IF(AA$5="Actual",SUMIFS(Outflows!$L$7:$L$163,Outflows!$H$7:$H$163,$A21,Outflows!$M$7:$M$163,AA$6),IF($A21="Sales VAT",SUM(AA$8:AA$12)*Inputs!$B$7/(1+Inputs!$B$7),IF(AND(AA$6&gt;=$E21,AA$6&lt;=$F21,Budget!$M11&gt;0),$D21/Budget!$M11,0)))</f>
        <v>0</v>
      </c>
      <c r="AB21" s="35">
        <f>IF(AB$5="Actual",SUMIFS(Outflows!$L$7:$L$163,Outflows!$H$7:$H$163,$A21,Outflows!$M$7:$M$163,AB$6),IF($A21="Sales VAT",SUM(AB$8:AB$12)*Inputs!$B$7/(1+Inputs!$B$7),IF(AND(AB$6&gt;=$E21,AB$6&lt;=$F21,Budget!$M11&gt;0),$D21/Budget!$M11,0)))</f>
        <v>0</v>
      </c>
      <c r="AC21" s="35">
        <f>IF(AC$5="Actual",SUMIFS(Outflows!$L$7:$L$163,Outflows!$H$7:$H$163,$A21,Outflows!$M$7:$M$163,AC$6),IF($A21="Sales VAT",SUM(AC$8:AC$12)*Inputs!$B$7/(1+Inputs!$B$7),IF(AND(AC$6&gt;=$E21,AC$6&lt;=$F21,Budget!$M11&gt;0),$D21/Budget!$M11,0)))</f>
        <v>0</v>
      </c>
      <c r="AD21" s="35">
        <f>IF(AD$5="Actual",SUMIFS(Outflows!$L$7:$L$163,Outflows!$H$7:$H$163,$A21,Outflows!$M$7:$M$163,AD$6),IF($A21="Sales VAT",SUM(AD$8:AD$12)*Inputs!$B$7/(1+Inputs!$B$7),IF(AND(AD$6&gt;=$E21,AD$6&lt;=$F21,Budget!$M11&gt;0),$D21/Budget!$M11,0)))</f>
        <v>0</v>
      </c>
      <c r="AE21" s="35">
        <f>IF(AE$5="Actual",SUMIFS(Outflows!$L$7:$L$163,Outflows!$H$7:$H$163,$A21,Outflows!$M$7:$M$163,AE$6),IF($A21="Sales VAT",SUM(AE$8:AE$12)*Inputs!$B$7/(1+Inputs!$B$7),IF(AND(AE$6&gt;=$E21,AE$6&lt;=$F21,Budget!$M11&gt;0),$D21/Budget!$M11,0)))</f>
        <v>0</v>
      </c>
      <c r="AF21" s="35">
        <f>IF(AF$5="Actual",SUMIFS(Outflows!$L$7:$L$163,Outflows!$H$7:$H$163,$A21,Outflows!$M$7:$M$163,AF$6),IF($A21="Sales VAT",SUM(AF$8:AF$12)*Inputs!$B$7/(1+Inputs!$B$7),IF(AND(AF$6&gt;=$E21,AF$6&lt;=$F21,Budget!$M11&gt;0),$D21/Budget!$M11,0)))</f>
        <v>0</v>
      </c>
      <c r="AG21" s="35">
        <f>IF(AG$5="Actual",SUMIFS(Outflows!$L$7:$L$163,Outflows!$H$7:$H$163,$A21,Outflows!$M$7:$M$163,AG$6),IF($A21="Sales VAT",SUM(AG$8:AG$12)*Inputs!$B$7/(1+Inputs!$B$7),IF(AND(AG$6&gt;=$E21,AG$6&lt;=$F21,Budget!$M11&gt;0),$D21/Budget!$M11,0)))</f>
        <v>0</v>
      </c>
      <c r="AH21" s="35">
        <f>IF(AH$5="Actual",SUMIFS(Outflows!$L$7:$L$163,Outflows!$H$7:$H$163,$A21,Outflows!$M$7:$M$163,AH$6),IF($A21="Sales VAT",SUM(AH$8:AH$12)*Inputs!$B$7/(1+Inputs!$B$7),IF(AND(AH$6&gt;=$E21,AH$6&lt;=$F21,Budget!$M11&gt;0),$D21/Budget!$M11,0)))</f>
        <v>0</v>
      </c>
      <c r="AI21" s="35">
        <f>IF(AI$5="Actual",SUMIFS(Outflows!$L$7:$L$163,Outflows!$H$7:$H$163,$A21,Outflows!$M$7:$M$163,AI$6),IF($A21="Sales VAT",SUM(AI$8:AI$12)*Inputs!$B$7/(1+Inputs!$B$7),IF(AND(AI$6&gt;=$E21,AI$6&lt;=$F21,Budget!$M11&gt;0),$D21/Budget!$M11,0)))</f>
        <v>0</v>
      </c>
      <c r="AJ21" s="35">
        <f>IF(AJ$5="Actual",SUMIFS(Outflows!$L$7:$L$163,Outflows!$H$7:$H$163,$A21,Outflows!$M$7:$M$163,AJ$6),IF($A21="Sales VAT",SUM(AJ$8:AJ$12)*Inputs!$B$7/(1+Inputs!$B$7),IF(AND(AJ$6&gt;=$E21,AJ$6&lt;=$F21,Budget!$M11&gt;0),$D21/Budget!$M11,0)))</f>
        <v>0</v>
      </c>
      <c r="AK21" s="35">
        <f>IF(AK$5="Actual",SUMIFS(Outflows!$L$7:$L$163,Outflows!$H$7:$H$163,$A21,Outflows!$M$7:$M$163,AK$6),IF($A21="Sales VAT",SUM(AK$8:AK$12)*Inputs!$B$7/(1+Inputs!$B$7),IF(AND(AK$6&gt;=$E21,AK$6&lt;=$F21,Budget!$M11&gt;0),$D21/Budget!$M11,0)))</f>
        <v>14583.333333333334</v>
      </c>
      <c r="AL21" s="35">
        <f>IF(AL$5="Actual",SUMIFS(Outflows!$L$7:$L$163,Outflows!$H$7:$H$163,$A21,Outflows!$M$7:$M$163,AL$6),IF($A21="Sales VAT",SUM(AL$8:AL$12)*Inputs!$B$7/(1+Inputs!$B$7),IF(AND(AL$6&gt;=$E21,AL$6&lt;=$F21,Budget!$M11&gt;0),$D21/Budget!$M11,0)))</f>
        <v>14583.333333333334</v>
      </c>
      <c r="AM21" s="35">
        <f>IF(AM$5="Actual",SUMIFS(Outflows!$L$7:$L$163,Outflows!$H$7:$H$163,$A21,Outflows!$M$7:$M$163,AM$6),IF($A21="Sales VAT",SUM(AM$8:AM$12)*Inputs!$B$7/(1+Inputs!$B$7),IF(AND(AM$6&gt;=$E21,AM$6&lt;=$F21,Budget!$M11&gt;0),$D21/Budget!$M11,0)))</f>
        <v>14583.333333333334</v>
      </c>
      <c r="AN21" s="35">
        <f>IF(AN$5="Actual",SUMIFS(Outflows!$L$7:$L$163,Outflows!$H$7:$H$163,$A21,Outflows!$M$7:$M$163,AN$6),IF($A21="Sales VAT",SUM(AN$8:AN$12)*Inputs!$B$7/(1+Inputs!$B$7),IF(AND(AN$6&gt;=$E21,AN$6&lt;=$F21,Budget!$M11&gt;0),$D21/Budget!$M11,0)))</f>
        <v>14583.333333333334</v>
      </c>
      <c r="AO21" s="35">
        <f>IF(AO$5="Actual",SUMIFS(Outflows!$L$7:$L$163,Outflows!$H$7:$H$163,$A21,Outflows!$M$7:$M$163,AO$6),IF($A21="Sales VAT",SUM(AO$8:AO$12)*Inputs!$B$7/(1+Inputs!$B$7),IF(AND(AO$6&gt;=$E21,AO$6&lt;=$F21,Budget!$M11&gt;0),$D21/Budget!$M11,0)))</f>
        <v>14583.333333333334</v>
      </c>
      <c r="AP21" s="35">
        <f>IF(AP$5="Actual",SUMIFS(Outflows!$L$7:$L$163,Outflows!$H$7:$H$163,$A21,Outflows!$M$7:$M$163,AP$6),IF($A21="Sales VAT",SUM(AP$8:AP$12)*Inputs!$B$7/(1+Inputs!$B$7),IF(AND(AP$6&gt;=$E21,AP$6&lt;=$F21,Budget!$M11&gt;0),$D21/Budget!$M11,0)))</f>
        <v>14583.333333333334</v>
      </c>
      <c r="AQ21" s="35">
        <f>IF(AQ$5="Actual",SUMIFS(Outflows!$L$7:$L$163,Outflows!$H$7:$H$163,$A21,Outflows!$M$7:$M$163,AQ$6),IF($A21="Sales VAT",SUM(AQ$8:AQ$12)*Inputs!$B$7/(1+Inputs!$B$7),IF(AND(AQ$6&gt;=$E21,AQ$6&lt;=$F21,Budget!$M11&gt;0),$D21/Budget!$M11,0)))</f>
        <v>14583.333333333334</v>
      </c>
      <c r="AR21" s="35">
        <f>IF(AR$5="Actual",SUMIFS(Outflows!$L$7:$L$163,Outflows!$H$7:$H$163,$A21,Outflows!$M$7:$M$163,AR$6),IF($A21="Sales VAT",SUM(AR$8:AR$12)*Inputs!$B$7/(1+Inputs!$B$7),IF(AND(AR$6&gt;=$E21,AR$6&lt;=$F21,Budget!$M11&gt;0),$D21/Budget!$M11,0)))</f>
        <v>14583.333333333334</v>
      </c>
      <c r="AS21" s="35">
        <f>IF(AS$5="Actual",SUMIFS(Outflows!$L$7:$L$163,Outflows!$H$7:$H$163,$A21,Outflows!$M$7:$M$163,AS$6),IF($A21="Sales VAT",SUM(AS$8:AS$12)*Inputs!$B$7/(1+Inputs!$B$7),IF(AND(AS$6&gt;=$E21,AS$6&lt;=$F21,Budget!$M11&gt;0),$D21/Budget!$M11,0)))</f>
        <v>14583.333333333334</v>
      </c>
      <c r="AT21" s="35">
        <f>IF(AT$5="Actual",SUMIFS(Outflows!$L$7:$L$163,Outflows!$H$7:$H$163,$A21,Outflows!$M$7:$M$163,AT$6),IF($A21="Sales VAT",SUM(AT$8:AT$12)*Inputs!$B$7/(1+Inputs!$B$7),IF(AND(AT$6&gt;=$E21,AT$6&lt;=$F21,Budget!$M11&gt;0),$D21/Budget!$M11,0)))</f>
        <v>14583.333333333334</v>
      </c>
      <c r="AU21" s="35">
        <f>IF(AU$5="Actual",SUMIFS(Outflows!$L$7:$L$163,Outflows!$H$7:$H$163,$A21,Outflows!$M$7:$M$163,AU$6),IF($A21="Sales VAT",SUM(AU$8:AU$12)*Inputs!$B$7/(1+Inputs!$B$7),IF(AND(AU$6&gt;=$E21,AU$6&lt;=$F21,Budget!$M11&gt;0),$D21/Budget!$M11,0)))</f>
        <v>14583.333333333334</v>
      </c>
      <c r="AV21" s="35">
        <f>IF(AV$5="Actual",SUMIFS(Outflows!$L$7:$L$163,Outflows!$H$7:$H$163,$A21,Outflows!$M$7:$M$163,AV$6),IF($A21="Sales VAT",SUM(AV$8:AV$12)*Inputs!$B$7/(1+Inputs!$B$7),IF(AND(AV$6&gt;=$E21,AV$6&lt;=$F21,Budget!$M11&gt;0),$D21/Budget!$M11,0)))</f>
        <v>14583.333333333334</v>
      </c>
      <c r="AW21" s="35">
        <f>IF(AW$5="Actual",SUMIFS(Outflows!$L$7:$L$163,Outflows!$H$7:$H$163,$A21,Outflows!$M$7:$M$163,AW$6),IF($A21="Sales VAT",SUM(AW$8:AW$12)*Inputs!$B$7/(1+Inputs!$B$7),IF(AND(AW$6&gt;=$E21,AW$6&lt;=$F21,Budget!$M11&gt;0),$D21/Budget!$M11,0)))</f>
        <v>0</v>
      </c>
      <c r="AX21" s="35">
        <f>IF(AX$5="Actual",SUMIFS(Outflows!$L$7:$L$163,Outflows!$H$7:$H$163,$A21,Outflows!$M$7:$M$163,AX$6),IF($A21="Sales VAT",SUM(AX$8:AX$12)*Inputs!$B$7/(1+Inputs!$B$7),IF(AND(AX$6&gt;=$E21,AX$6&lt;=$F21,Budget!$M11&gt;0),$D21/Budget!$M11,0)))</f>
        <v>0</v>
      </c>
      <c r="AY21" s="35">
        <f>IF(AY$5="Actual",SUMIFS(Outflows!$L$7:$L$163,Outflows!$H$7:$H$163,$A21,Outflows!$M$7:$M$163,AY$6),IF($A21="Sales VAT",SUM(AY$8:AY$12)*Inputs!$B$7/(1+Inputs!$B$7),IF(AND(AY$6&gt;=$E21,AY$6&lt;=$F21,Budget!$M11&gt;0),$D21/Budget!$M11,0)))</f>
        <v>0</v>
      </c>
      <c r="AZ21" s="35">
        <f>IF(AZ$5="Actual",SUMIFS(Outflows!$L$7:$L$163,Outflows!$H$7:$H$163,$A21,Outflows!$M$7:$M$163,AZ$6),IF($A21="Sales VAT",SUM(AZ$8:AZ$12)*Inputs!$B$7/(1+Inputs!$B$7),IF(AND(AZ$6&gt;=$E21,AZ$6&lt;=$F21,Budget!$M11&gt;0),$D21/Budget!$M11,0)))</f>
        <v>0</v>
      </c>
      <c r="BA21" s="35">
        <f>IF(BA$5="Actual",SUMIFS(Outflows!$L$7:$L$163,Outflows!$H$7:$H$163,$A21,Outflows!$M$7:$M$163,BA$6),IF($A21="Sales VAT",SUM(BA$8:BA$12)*Inputs!$B$7/(1+Inputs!$B$7),IF(AND(BA$6&gt;=$E21,BA$6&lt;=$F21,Budget!$M11&gt;0),$D21/Budget!$M11,0)))</f>
        <v>0</v>
      </c>
    </row>
    <row r="22" spans="1:53">
      <c r="A22" s="6" t="str">
        <f>Budget!C12</f>
        <v>Network &amp; Infrastructure upgrade</v>
      </c>
      <c r="B22" s="35">
        <f>Budget!G12</f>
        <v>447699.99999999994</v>
      </c>
      <c r="C22" s="35">
        <f>Budget!H12</f>
        <v>0</v>
      </c>
      <c r="D22" s="35">
        <f>Budget!I12</f>
        <v>447699.99999999994</v>
      </c>
      <c r="E22" s="61">
        <f>Budget!K12</f>
        <v>45292</v>
      </c>
      <c r="F22" s="61">
        <f>Budget!L12</f>
        <v>45444</v>
      </c>
      <c r="G22" s="35">
        <f>IF(G$5="Actual",SUMIFS(Outflows!$L$7:$L$163,Outflows!$H$7:$H$163,$A22,Outflows!$M$7:$M$163,G$6),IF($A22="Sales VAT",SUM(G$8:G$12)*Inputs!$B$7/(1+Inputs!$B$7),IF(AND(G$6&gt;=$E22,G$6&lt;=$F22,Budget!$M12&gt;0),$D22/Budget!$M12,0)))</f>
        <v>0</v>
      </c>
      <c r="H22" s="35">
        <f>IF(H$5="Actual",SUMIFS(Outflows!$L$7:$L$163,Outflows!$H$7:$H$163,$A22,Outflows!$M$7:$M$163,H$6),IF($A22="Sales VAT",SUM(H$8:H$12)*Inputs!$B$7/(1+Inputs!$B$7),IF(AND(H$6&gt;=$E22,H$6&lt;=$F22,Budget!$M12&gt;0),$D22/Budget!$M12,0)))</f>
        <v>0</v>
      </c>
      <c r="I22" s="35">
        <f>IF(I$5="Actual",SUMIFS(Outflows!$L$7:$L$163,Outflows!$H$7:$H$163,$A22,Outflows!$M$7:$M$163,I$6),IF($A22="Sales VAT",SUM(I$8:I$12)*Inputs!$B$7/(1+Inputs!$B$7),IF(AND(I$6&gt;=$E22,I$6&lt;=$F22,Budget!$M12&gt;0),$D22/Budget!$M12,0)))</f>
        <v>0</v>
      </c>
      <c r="J22" s="35">
        <f>IF(J$5="Actual",SUMIFS(Outflows!$L$7:$L$163,Outflows!$H$7:$H$163,$A22,Outflows!$M$7:$M$163,J$6),IF($A22="Sales VAT",SUM(J$8:J$12)*Inputs!$B$7/(1+Inputs!$B$7),IF(AND(J$6&gt;=$E22,J$6&lt;=$F22,Budget!$M12&gt;0),$D22/Budget!$M12,0)))</f>
        <v>0</v>
      </c>
      <c r="K22" s="35">
        <f>IF(K$5="Actual",SUMIFS(Outflows!$L$7:$L$163,Outflows!$H$7:$H$163,$A22,Outflows!$M$7:$M$163,K$6),IF($A22="Sales VAT",SUM(K$8:K$12)*Inputs!$B$7/(1+Inputs!$B$7),IF(AND(K$6&gt;=$E22,K$6&lt;=$F22,Budget!$M12&gt;0),$D22/Budget!$M12,0)))</f>
        <v>0</v>
      </c>
      <c r="L22" s="35">
        <f>IF(L$5="Actual",SUMIFS(Outflows!$L$7:$L$163,Outflows!$H$7:$H$163,$A22,Outflows!$M$7:$M$163,L$6),IF($A22="Sales VAT",SUM(L$8:L$12)*Inputs!$B$7/(1+Inputs!$B$7),IF(AND(L$6&gt;=$E22,L$6&lt;=$F22,Budget!$M12&gt;0),$D22/Budget!$M12,0)))</f>
        <v>0</v>
      </c>
      <c r="M22" s="35">
        <f>IF(M$5="Actual",SUMIFS(Outflows!$L$7:$L$163,Outflows!$H$7:$H$163,$A22,Outflows!$M$7:$M$163,M$6),IF($A22="Sales VAT",SUM(M$8:M$12)*Inputs!$B$7/(1+Inputs!$B$7),IF(AND(M$6&gt;=$E22,M$6&lt;=$F22,Budget!$M12&gt;0),$D22/Budget!$M12,0)))</f>
        <v>0</v>
      </c>
      <c r="N22" s="35">
        <f>IF(N$5="Actual",SUMIFS(Outflows!$L$7:$L$163,Outflows!$H$7:$H$163,$A22,Outflows!$M$7:$M$163,N$6),IF($A22="Sales VAT",SUM(N$8:N$12)*Inputs!$B$7/(1+Inputs!$B$7),IF(AND(N$6&gt;=$E22,N$6&lt;=$F22,Budget!$M12&gt;0),$D22/Budget!$M12,0)))</f>
        <v>0</v>
      </c>
      <c r="O22" s="35">
        <f>IF(O$5="Actual",SUMIFS(Outflows!$L$7:$L$163,Outflows!$H$7:$H$163,$A22,Outflows!$M$7:$M$163,O$6),IF($A22="Sales VAT",SUM(O$8:O$12)*Inputs!$B$7/(1+Inputs!$B$7),IF(AND(O$6&gt;=$E22,O$6&lt;=$F22,Budget!$M12&gt;0),$D22/Budget!$M12,0)))</f>
        <v>0</v>
      </c>
      <c r="P22" s="35">
        <f>IF(P$5="Actual",SUMIFS(Outflows!$L$7:$L$163,Outflows!$H$7:$H$163,$A22,Outflows!$M$7:$M$163,P$6),IF($A22="Sales VAT",SUM(P$8:P$12)*Inputs!$B$7/(1+Inputs!$B$7),IF(AND(P$6&gt;=$E22,P$6&lt;=$F22,Budget!$M12&gt;0),$D22/Budget!$M12,0)))</f>
        <v>0</v>
      </c>
      <c r="Q22" s="35">
        <f>IF(Q$5="Actual",SUMIFS(Outflows!$L$7:$L$163,Outflows!$H$7:$H$163,$A22,Outflows!$M$7:$M$163,Q$6),IF($A22="Sales VAT",SUM(Q$8:Q$12)*Inputs!$B$7/(1+Inputs!$B$7),IF(AND(Q$6&gt;=$E22,Q$6&lt;=$F22,Budget!$M12&gt;0),$D22/Budget!$M12,0)))</f>
        <v>0</v>
      </c>
      <c r="R22" s="35">
        <f>IF(R$5="Actual",SUMIFS(Outflows!$L$7:$L$163,Outflows!$H$7:$H$163,$A22,Outflows!$M$7:$M$163,R$6),IF($A22="Sales VAT",SUM(R$8:R$12)*Inputs!$B$7/(1+Inputs!$B$7),IF(AND(R$6&gt;=$E22,R$6&lt;=$F22,Budget!$M12&gt;0),$D22/Budget!$M12,0)))</f>
        <v>0</v>
      </c>
      <c r="S22" s="35">
        <f>IF(S$5="Actual",SUMIFS(Outflows!$L$7:$L$163,Outflows!$H$7:$H$163,$A22,Outflows!$M$7:$M$163,S$6),IF($A22="Sales VAT",SUM(S$8:S$12)*Inputs!$B$7/(1+Inputs!$B$7),IF(AND(S$6&gt;=$E22,S$6&lt;=$F22,Budget!$M12&gt;0),$D22/Budget!$M12,0)))</f>
        <v>0</v>
      </c>
      <c r="T22" s="35">
        <f>IF(T$5="Actual",SUMIFS(Outflows!$L$7:$L$163,Outflows!$H$7:$H$163,$A22,Outflows!$M$7:$M$163,T$6),IF($A22="Sales VAT",SUM(T$8:T$12)*Inputs!$B$7/(1+Inputs!$B$7),IF(AND(T$6&gt;=$E22,T$6&lt;=$F22,Budget!$M12&gt;0),$D22/Budget!$M12,0)))</f>
        <v>0</v>
      </c>
      <c r="U22" s="35">
        <f>IF(U$5="Actual",SUMIFS(Outflows!$L$7:$L$163,Outflows!$H$7:$H$163,$A22,Outflows!$M$7:$M$163,U$6),IF($A22="Sales VAT",SUM(U$8:U$12)*Inputs!$B$7/(1+Inputs!$B$7),IF(AND(U$6&gt;=$E22,U$6&lt;=$F22,Budget!$M12&gt;0),$D22/Budget!$M12,0)))</f>
        <v>0</v>
      </c>
      <c r="V22" s="35">
        <f>IF(V$5="Actual",SUMIFS(Outflows!$L$7:$L$163,Outflows!$H$7:$H$163,$A22,Outflows!$M$7:$M$163,V$6),IF($A22="Sales VAT",SUM(V$8:V$12)*Inputs!$B$7/(1+Inputs!$B$7),IF(AND(V$6&gt;=$E22,V$6&lt;=$F22,Budget!$M12&gt;0),$D22/Budget!$M12,0)))</f>
        <v>0</v>
      </c>
      <c r="W22" s="35">
        <f>IF(W$5="Actual",SUMIFS(Outflows!$L$7:$L$163,Outflows!$H$7:$H$163,$A22,Outflows!$M$7:$M$163,W$6),IF($A22="Sales VAT",SUM(W$8:W$12)*Inputs!$B$7/(1+Inputs!$B$7),IF(AND(W$6&gt;=$E22,W$6&lt;=$F22,Budget!$M12&gt;0),$D22/Budget!$M12,0)))</f>
        <v>0</v>
      </c>
      <c r="X22" s="35">
        <f>IF(X$5="Actual",SUMIFS(Outflows!$L$7:$L$163,Outflows!$H$7:$H$163,$A22,Outflows!$M$7:$M$163,X$6),IF($A22="Sales VAT",SUM(X$8:X$12)*Inputs!$B$7/(1+Inputs!$B$7),IF(AND(X$6&gt;=$E22,X$6&lt;=$F22,Budget!$M12&gt;0),$D22/Budget!$M12,0)))</f>
        <v>0</v>
      </c>
      <c r="Y22" s="35">
        <f>IF(Y$5="Actual",SUMIFS(Outflows!$L$7:$L$163,Outflows!$H$7:$H$163,$A22,Outflows!$M$7:$M$163,Y$6),IF($A22="Sales VAT",SUM(Y$8:Y$12)*Inputs!$B$7/(1+Inputs!$B$7),IF(AND(Y$6&gt;=$E22,Y$6&lt;=$F22,Budget!$M12&gt;0),$D22/Budget!$M12,0)))</f>
        <v>0</v>
      </c>
      <c r="Z22" s="35">
        <f>IF(Z$5="Actual",SUMIFS(Outflows!$L$7:$L$163,Outflows!$H$7:$H$163,$A22,Outflows!$M$7:$M$163,Z$6),IF($A22="Sales VAT",SUM(Z$8:Z$12)*Inputs!$B$7/(1+Inputs!$B$7),IF(AND(Z$6&gt;=$E22,Z$6&lt;=$F22,Budget!$M12&gt;0),$D22/Budget!$M12,0)))</f>
        <v>0</v>
      </c>
      <c r="AA22" s="35">
        <f>IF(AA$5="Actual",SUMIFS(Outflows!$L$7:$L$163,Outflows!$H$7:$H$163,$A22,Outflows!$M$7:$M$163,AA$6),IF($A22="Sales VAT",SUM(AA$8:AA$12)*Inputs!$B$7/(1+Inputs!$B$7),IF(AND(AA$6&gt;=$E22,AA$6&lt;=$F22,Budget!$M12&gt;0),$D22/Budget!$M12,0)))</f>
        <v>0</v>
      </c>
      <c r="AB22" s="35">
        <f>IF(AB$5="Actual",SUMIFS(Outflows!$L$7:$L$163,Outflows!$H$7:$H$163,$A22,Outflows!$M$7:$M$163,AB$6),IF($A22="Sales VAT",SUM(AB$8:AB$12)*Inputs!$B$7/(1+Inputs!$B$7),IF(AND(AB$6&gt;=$E22,AB$6&lt;=$F22,Budget!$M12&gt;0),$D22/Budget!$M12,0)))</f>
        <v>0</v>
      </c>
      <c r="AC22" s="35">
        <f>IF(AC$5="Actual",SUMIFS(Outflows!$L$7:$L$163,Outflows!$H$7:$H$163,$A22,Outflows!$M$7:$M$163,AC$6),IF($A22="Sales VAT",SUM(AC$8:AC$12)*Inputs!$B$7/(1+Inputs!$B$7),IF(AND(AC$6&gt;=$E22,AC$6&lt;=$F22,Budget!$M12&gt;0),$D22/Budget!$M12,0)))</f>
        <v>0</v>
      </c>
      <c r="AD22" s="35">
        <f>IF(AD$5="Actual",SUMIFS(Outflows!$L$7:$L$163,Outflows!$H$7:$H$163,$A22,Outflows!$M$7:$M$163,AD$6),IF($A22="Sales VAT",SUM(AD$8:AD$12)*Inputs!$B$7/(1+Inputs!$B$7),IF(AND(AD$6&gt;=$E22,AD$6&lt;=$F22,Budget!$M12&gt;0),$D22/Budget!$M12,0)))</f>
        <v>74616.666666666657</v>
      </c>
      <c r="AE22" s="35">
        <f>IF(AE$5="Actual",SUMIFS(Outflows!$L$7:$L$163,Outflows!$H$7:$H$163,$A22,Outflows!$M$7:$M$163,AE$6),IF($A22="Sales VAT",SUM(AE$8:AE$12)*Inputs!$B$7/(1+Inputs!$B$7),IF(AND(AE$6&gt;=$E22,AE$6&lt;=$F22,Budget!$M12&gt;0),$D22/Budget!$M12,0)))</f>
        <v>74616.666666666657</v>
      </c>
      <c r="AF22" s="35">
        <f>IF(AF$5="Actual",SUMIFS(Outflows!$L$7:$L$163,Outflows!$H$7:$H$163,$A22,Outflows!$M$7:$M$163,AF$6),IF($A22="Sales VAT",SUM(AF$8:AF$12)*Inputs!$B$7/(1+Inputs!$B$7),IF(AND(AF$6&gt;=$E22,AF$6&lt;=$F22,Budget!$M12&gt;0),$D22/Budget!$M12,0)))</f>
        <v>74616.666666666657</v>
      </c>
      <c r="AG22" s="35">
        <f>IF(AG$5="Actual",SUMIFS(Outflows!$L$7:$L$163,Outflows!$H$7:$H$163,$A22,Outflows!$M$7:$M$163,AG$6),IF($A22="Sales VAT",SUM(AG$8:AG$12)*Inputs!$B$7/(1+Inputs!$B$7),IF(AND(AG$6&gt;=$E22,AG$6&lt;=$F22,Budget!$M12&gt;0),$D22/Budget!$M12,0)))</f>
        <v>74616.666666666657</v>
      </c>
      <c r="AH22" s="35">
        <f>IF(AH$5="Actual",SUMIFS(Outflows!$L$7:$L$163,Outflows!$H$7:$H$163,$A22,Outflows!$M$7:$M$163,AH$6),IF($A22="Sales VAT",SUM(AH$8:AH$12)*Inputs!$B$7/(1+Inputs!$B$7),IF(AND(AH$6&gt;=$E22,AH$6&lt;=$F22,Budget!$M12&gt;0),$D22/Budget!$M12,0)))</f>
        <v>74616.666666666657</v>
      </c>
      <c r="AI22" s="35">
        <f>IF(AI$5="Actual",SUMIFS(Outflows!$L$7:$L$163,Outflows!$H$7:$H$163,$A22,Outflows!$M$7:$M$163,AI$6),IF($A22="Sales VAT",SUM(AI$8:AI$12)*Inputs!$B$7/(1+Inputs!$B$7),IF(AND(AI$6&gt;=$E22,AI$6&lt;=$F22,Budget!$M12&gt;0),$D22/Budget!$M12,0)))</f>
        <v>74616.666666666657</v>
      </c>
      <c r="AJ22" s="35">
        <f>IF(AJ$5="Actual",SUMIFS(Outflows!$L$7:$L$163,Outflows!$H$7:$H$163,$A22,Outflows!$M$7:$M$163,AJ$6),IF($A22="Sales VAT",SUM(AJ$8:AJ$12)*Inputs!$B$7/(1+Inputs!$B$7),IF(AND(AJ$6&gt;=$E22,AJ$6&lt;=$F22,Budget!$M12&gt;0),$D22/Budget!$M12,0)))</f>
        <v>0</v>
      </c>
      <c r="AK22" s="35">
        <f>IF(AK$5="Actual",SUMIFS(Outflows!$L$7:$L$163,Outflows!$H$7:$H$163,$A22,Outflows!$M$7:$M$163,AK$6),IF($A22="Sales VAT",SUM(AK$8:AK$12)*Inputs!$B$7/(1+Inputs!$B$7),IF(AND(AK$6&gt;=$E22,AK$6&lt;=$F22,Budget!$M12&gt;0),$D22/Budget!$M12,0)))</f>
        <v>0</v>
      </c>
      <c r="AL22" s="35">
        <f>IF(AL$5="Actual",SUMIFS(Outflows!$L$7:$L$163,Outflows!$H$7:$H$163,$A22,Outflows!$M$7:$M$163,AL$6),IF($A22="Sales VAT",SUM(AL$8:AL$12)*Inputs!$B$7/(1+Inputs!$B$7),IF(AND(AL$6&gt;=$E22,AL$6&lt;=$F22,Budget!$M12&gt;0),$D22/Budget!$M12,0)))</f>
        <v>0</v>
      </c>
      <c r="AM22" s="35">
        <f>IF(AM$5="Actual",SUMIFS(Outflows!$L$7:$L$163,Outflows!$H$7:$H$163,$A22,Outflows!$M$7:$M$163,AM$6),IF($A22="Sales VAT",SUM(AM$8:AM$12)*Inputs!$B$7/(1+Inputs!$B$7),IF(AND(AM$6&gt;=$E22,AM$6&lt;=$F22,Budget!$M12&gt;0),$D22/Budget!$M12,0)))</f>
        <v>0</v>
      </c>
      <c r="AN22" s="35">
        <f>IF(AN$5="Actual",SUMIFS(Outflows!$L$7:$L$163,Outflows!$H$7:$H$163,$A22,Outflows!$M$7:$M$163,AN$6),IF($A22="Sales VAT",SUM(AN$8:AN$12)*Inputs!$B$7/(1+Inputs!$B$7),IF(AND(AN$6&gt;=$E22,AN$6&lt;=$F22,Budget!$M12&gt;0),$D22/Budget!$M12,0)))</f>
        <v>0</v>
      </c>
      <c r="AO22" s="35">
        <f>IF(AO$5="Actual",SUMIFS(Outflows!$L$7:$L$163,Outflows!$H$7:$H$163,$A22,Outflows!$M$7:$M$163,AO$6),IF($A22="Sales VAT",SUM(AO$8:AO$12)*Inputs!$B$7/(1+Inputs!$B$7),IF(AND(AO$6&gt;=$E22,AO$6&lt;=$F22,Budget!$M12&gt;0),$D22/Budget!$M12,0)))</f>
        <v>0</v>
      </c>
      <c r="AP22" s="35">
        <f>IF(AP$5="Actual",SUMIFS(Outflows!$L$7:$L$163,Outflows!$H$7:$H$163,$A22,Outflows!$M$7:$M$163,AP$6),IF($A22="Sales VAT",SUM(AP$8:AP$12)*Inputs!$B$7/(1+Inputs!$B$7),IF(AND(AP$6&gt;=$E22,AP$6&lt;=$F22,Budget!$M12&gt;0),$D22/Budget!$M12,0)))</f>
        <v>0</v>
      </c>
      <c r="AQ22" s="35">
        <f>IF(AQ$5="Actual",SUMIFS(Outflows!$L$7:$L$163,Outflows!$H$7:$H$163,$A22,Outflows!$M$7:$M$163,AQ$6),IF($A22="Sales VAT",SUM(AQ$8:AQ$12)*Inputs!$B$7/(1+Inputs!$B$7),IF(AND(AQ$6&gt;=$E22,AQ$6&lt;=$F22,Budget!$M12&gt;0),$D22/Budget!$M12,0)))</f>
        <v>0</v>
      </c>
      <c r="AR22" s="35">
        <f>IF(AR$5="Actual",SUMIFS(Outflows!$L$7:$L$163,Outflows!$H$7:$H$163,$A22,Outflows!$M$7:$M$163,AR$6),IF($A22="Sales VAT",SUM(AR$8:AR$12)*Inputs!$B$7/(1+Inputs!$B$7),IF(AND(AR$6&gt;=$E22,AR$6&lt;=$F22,Budget!$M12&gt;0),$D22/Budget!$M12,0)))</f>
        <v>0</v>
      </c>
      <c r="AS22" s="35">
        <f>IF(AS$5="Actual",SUMIFS(Outflows!$L$7:$L$163,Outflows!$H$7:$H$163,$A22,Outflows!$M$7:$M$163,AS$6),IF($A22="Sales VAT",SUM(AS$8:AS$12)*Inputs!$B$7/(1+Inputs!$B$7),IF(AND(AS$6&gt;=$E22,AS$6&lt;=$F22,Budget!$M12&gt;0),$D22/Budget!$M12,0)))</f>
        <v>0</v>
      </c>
      <c r="AT22" s="35">
        <f>IF(AT$5="Actual",SUMIFS(Outflows!$L$7:$L$163,Outflows!$H$7:$H$163,$A22,Outflows!$M$7:$M$163,AT$6),IF($A22="Sales VAT",SUM(AT$8:AT$12)*Inputs!$B$7/(1+Inputs!$B$7),IF(AND(AT$6&gt;=$E22,AT$6&lt;=$F22,Budget!$M12&gt;0),$D22/Budget!$M12,0)))</f>
        <v>0</v>
      </c>
      <c r="AU22" s="35">
        <f>IF(AU$5="Actual",SUMIFS(Outflows!$L$7:$L$163,Outflows!$H$7:$H$163,$A22,Outflows!$M$7:$M$163,AU$6),IF($A22="Sales VAT",SUM(AU$8:AU$12)*Inputs!$B$7/(1+Inputs!$B$7),IF(AND(AU$6&gt;=$E22,AU$6&lt;=$F22,Budget!$M12&gt;0),$D22/Budget!$M12,0)))</f>
        <v>0</v>
      </c>
      <c r="AV22" s="35">
        <f>IF(AV$5="Actual",SUMIFS(Outflows!$L$7:$L$163,Outflows!$H$7:$H$163,$A22,Outflows!$M$7:$M$163,AV$6),IF($A22="Sales VAT",SUM(AV$8:AV$12)*Inputs!$B$7/(1+Inputs!$B$7),IF(AND(AV$6&gt;=$E22,AV$6&lt;=$F22,Budget!$M12&gt;0),$D22/Budget!$M12,0)))</f>
        <v>0</v>
      </c>
      <c r="AW22" s="35">
        <f>IF(AW$5="Actual",SUMIFS(Outflows!$L$7:$L$163,Outflows!$H$7:$H$163,$A22,Outflows!$M$7:$M$163,AW$6),IF($A22="Sales VAT",SUM(AW$8:AW$12)*Inputs!$B$7/(1+Inputs!$B$7),IF(AND(AW$6&gt;=$E22,AW$6&lt;=$F22,Budget!$M12&gt;0),$D22/Budget!$M12,0)))</f>
        <v>0</v>
      </c>
      <c r="AX22" s="35">
        <f>IF(AX$5="Actual",SUMIFS(Outflows!$L$7:$L$163,Outflows!$H$7:$H$163,$A22,Outflows!$M$7:$M$163,AX$6),IF($A22="Sales VAT",SUM(AX$8:AX$12)*Inputs!$B$7/(1+Inputs!$B$7),IF(AND(AX$6&gt;=$E22,AX$6&lt;=$F22,Budget!$M12&gt;0),$D22/Budget!$M12,0)))</f>
        <v>0</v>
      </c>
      <c r="AY22" s="35">
        <f>IF(AY$5="Actual",SUMIFS(Outflows!$L$7:$L$163,Outflows!$H$7:$H$163,$A22,Outflows!$M$7:$M$163,AY$6),IF($A22="Sales VAT",SUM(AY$8:AY$12)*Inputs!$B$7/(1+Inputs!$B$7),IF(AND(AY$6&gt;=$E22,AY$6&lt;=$F22,Budget!$M12&gt;0),$D22/Budget!$M12,0)))</f>
        <v>0</v>
      </c>
      <c r="AZ22" s="35">
        <f>IF(AZ$5="Actual",SUMIFS(Outflows!$L$7:$L$163,Outflows!$H$7:$H$163,$A22,Outflows!$M$7:$M$163,AZ$6),IF($A22="Sales VAT",SUM(AZ$8:AZ$12)*Inputs!$B$7/(1+Inputs!$B$7),IF(AND(AZ$6&gt;=$E22,AZ$6&lt;=$F22,Budget!$M12&gt;0),$D22/Budget!$M12,0)))</f>
        <v>0</v>
      </c>
      <c r="BA22" s="35">
        <f>IF(BA$5="Actual",SUMIFS(Outflows!$L$7:$L$163,Outflows!$H$7:$H$163,$A22,Outflows!$M$7:$M$163,BA$6),IF($A22="Sales VAT",SUM(BA$8:BA$12)*Inputs!$B$7/(1+Inputs!$B$7),IF(AND(BA$6&gt;=$E22,BA$6&lt;=$F22,Budget!$M12&gt;0),$D22/Budget!$M12,0)))</f>
        <v>0</v>
      </c>
    </row>
    <row r="23" spans="1:53">
      <c r="A23" s="6" t="str">
        <f>Budget!C13</f>
        <v>New Infrastructure</v>
      </c>
      <c r="B23" s="35">
        <f>Budget!G13</f>
        <v>139829.53333299997</v>
      </c>
      <c r="C23" s="35">
        <f>Budget!H13</f>
        <v>0</v>
      </c>
      <c r="D23" s="35">
        <f>Budget!I13</f>
        <v>139829.53333299997</v>
      </c>
      <c r="E23" s="61">
        <f>Budget!K13</f>
        <v>45292</v>
      </c>
      <c r="F23" s="61">
        <f>Budget!L13</f>
        <v>45444</v>
      </c>
      <c r="G23" s="35">
        <f>IF(G$5="Actual",SUMIFS(Outflows!$L$7:$L$163,Outflows!$H$7:$H$163,$A23,Outflows!$M$7:$M$163,G$6),IF($A23="Sales VAT",SUM(G$8:G$12)*Inputs!$B$7/(1+Inputs!$B$7),IF(AND(G$6&gt;=$E23,G$6&lt;=$F23,Budget!$M13&gt;0),$D23/Budget!$M13,0)))</f>
        <v>0</v>
      </c>
      <c r="H23" s="35">
        <f>IF(H$5="Actual",SUMIFS(Outflows!$L$7:$L$163,Outflows!$H$7:$H$163,$A23,Outflows!$M$7:$M$163,H$6),IF($A23="Sales VAT",SUM(H$8:H$12)*Inputs!$B$7/(1+Inputs!$B$7),IF(AND(H$6&gt;=$E23,H$6&lt;=$F23,Budget!$M13&gt;0),$D23/Budget!$M13,0)))</f>
        <v>0</v>
      </c>
      <c r="I23" s="35">
        <f>IF(I$5="Actual",SUMIFS(Outflows!$L$7:$L$163,Outflows!$H$7:$H$163,$A23,Outflows!$M$7:$M$163,I$6),IF($A23="Sales VAT",SUM(I$8:I$12)*Inputs!$B$7/(1+Inputs!$B$7),IF(AND(I$6&gt;=$E23,I$6&lt;=$F23,Budget!$M13&gt;0),$D23/Budget!$M13,0)))</f>
        <v>0</v>
      </c>
      <c r="J23" s="35">
        <f>IF(J$5="Actual",SUMIFS(Outflows!$L$7:$L$163,Outflows!$H$7:$H$163,$A23,Outflows!$M$7:$M$163,J$6),IF($A23="Sales VAT",SUM(J$8:J$12)*Inputs!$B$7/(1+Inputs!$B$7),IF(AND(J$6&gt;=$E23,J$6&lt;=$F23,Budget!$M13&gt;0),$D23/Budget!$M13,0)))</f>
        <v>0</v>
      </c>
      <c r="K23" s="35">
        <f>IF(K$5="Actual",SUMIFS(Outflows!$L$7:$L$163,Outflows!$H$7:$H$163,$A23,Outflows!$M$7:$M$163,K$6),IF($A23="Sales VAT",SUM(K$8:K$12)*Inputs!$B$7/(1+Inputs!$B$7),IF(AND(K$6&gt;=$E23,K$6&lt;=$F23,Budget!$M13&gt;0),$D23/Budget!$M13,0)))</f>
        <v>0</v>
      </c>
      <c r="L23" s="35">
        <f>IF(L$5="Actual",SUMIFS(Outflows!$L$7:$L$163,Outflows!$H$7:$H$163,$A23,Outflows!$M$7:$M$163,L$6),IF($A23="Sales VAT",SUM(L$8:L$12)*Inputs!$B$7/(1+Inputs!$B$7),IF(AND(L$6&gt;=$E23,L$6&lt;=$F23,Budget!$M13&gt;0),$D23/Budget!$M13,0)))</f>
        <v>0</v>
      </c>
      <c r="M23" s="35">
        <f>IF(M$5="Actual",SUMIFS(Outflows!$L$7:$L$163,Outflows!$H$7:$H$163,$A23,Outflows!$M$7:$M$163,M$6),IF($A23="Sales VAT",SUM(M$8:M$12)*Inputs!$B$7/(1+Inputs!$B$7),IF(AND(M$6&gt;=$E23,M$6&lt;=$F23,Budget!$M13&gt;0),$D23/Budget!$M13,0)))</f>
        <v>0</v>
      </c>
      <c r="N23" s="35">
        <f>IF(N$5="Actual",SUMIFS(Outflows!$L$7:$L$163,Outflows!$H$7:$H$163,$A23,Outflows!$M$7:$M$163,N$6),IF($A23="Sales VAT",SUM(N$8:N$12)*Inputs!$B$7/(1+Inputs!$B$7),IF(AND(N$6&gt;=$E23,N$6&lt;=$F23,Budget!$M13&gt;0),$D23/Budget!$M13,0)))</f>
        <v>0</v>
      </c>
      <c r="O23" s="35">
        <f>IF(O$5="Actual",SUMIFS(Outflows!$L$7:$L$163,Outflows!$H$7:$H$163,$A23,Outflows!$M$7:$M$163,O$6),IF($A23="Sales VAT",SUM(O$8:O$12)*Inputs!$B$7/(1+Inputs!$B$7),IF(AND(O$6&gt;=$E23,O$6&lt;=$F23,Budget!$M13&gt;0),$D23/Budget!$M13,0)))</f>
        <v>0</v>
      </c>
      <c r="P23" s="35">
        <f>IF(P$5="Actual",SUMIFS(Outflows!$L$7:$L$163,Outflows!$H$7:$H$163,$A23,Outflows!$M$7:$M$163,P$6),IF($A23="Sales VAT",SUM(P$8:P$12)*Inputs!$B$7/(1+Inputs!$B$7),IF(AND(P$6&gt;=$E23,P$6&lt;=$F23,Budget!$M13&gt;0),$D23/Budget!$M13,0)))</f>
        <v>0</v>
      </c>
      <c r="Q23" s="35">
        <f>IF(Q$5="Actual",SUMIFS(Outflows!$L$7:$L$163,Outflows!$H$7:$H$163,$A23,Outflows!$M$7:$M$163,Q$6),IF($A23="Sales VAT",SUM(Q$8:Q$12)*Inputs!$B$7/(1+Inputs!$B$7),IF(AND(Q$6&gt;=$E23,Q$6&lt;=$F23,Budget!$M13&gt;0),$D23/Budget!$M13,0)))</f>
        <v>0</v>
      </c>
      <c r="R23" s="35">
        <f>IF(R$5="Actual",SUMIFS(Outflows!$L$7:$L$163,Outflows!$H$7:$H$163,$A23,Outflows!$M$7:$M$163,R$6),IF($A23="Sales VAT",SUM(R$8:R$12)*Inputs!$B$7/(1+Inputs!$B$7),IF(AND(R$6&gt;=$E23,R$6&lt;=$F23,Budget!$M13&gt;0),$D23/Budget!$M13,0)))</f>
        <v>0</v>
      </c>
      <c r="S23" s="35">
        <f>IF(S$5="Actual",SUMIFS(Outflows!$L$7:$L$163,Outflows!$H$7:$H$163,$A23,Outflows!$M$7:$M$163,S$6),IF($A23="Sales VAT",SUM(S$8:S$12)*Inputs!$B$7/(1+Inputs!$B$7),IF(AND(S$6&gt;=$E23,S$6&lt;=$F23,Budget!$M13&gt;0),$D23/Budget!$M13,0)))</f>
        <v>0</v>
      </c>
      <c r="T23" s="35">
        <f>IF(T$5="Actual",SUMIFS(Outflows!$L$7:$L$163,Outflows!$H$7:$H$163,$A23,Outflows!$M$7:$M$163,T$6),IF($A23="Sales VAT",SUM(T$8:T$12)*Inputs!$B$7/(1+Inputs!$B$7),IF(AND(T$6&gt;=$E23,T$6&lt;=$F23,Budget!$M13&gt;0),$D23/Budget!$M13,0)))</f>
        <v>0</v>
      </c>
      <c r="U23" s="35">
        <f>IF(U$5="Actual",SUMIFS(Outflows!$L$7:$L$163,Outflows!$H$7:$H$163,$A23,Outflows!$M$7:$M$163,U$6),IF($A23="Sales VAT",SUM(U$8:U$12)*Inputs!$B$7/(1+Inputs!$B$7),IF(AND(U$6&gt;=$E23,U$6&lt;=$F23,Budget!$M13&gt;0),$D23/Budget!$M13,0)))</f>
        <v>0</v>
      </c>
      <c r="V23" s="35">
        <f>IF(V$5="Actual",SUMIFS(Outflows!$L$7:$L$163,Outflows!$H$7:$H$163,$A23,Outflows!$M$7:$M$163,V$6),IF($A23="Sales VAT",SUM(V$8:V$12)*Inputs!$B$7/(1+Inputs!$B$7),IF(AND(V$6&gt;=$E23,V$6&lt;=$F23,Budget!$M13&gt;0),$D23/Budget!$M13,0)))</f>
        <v>0</v>
      </c>
      <c r="W23" s="35">
        <f>IF(W$5="Actual",SUMIFS(Outflows!$L$7:$L$163,Outflows!$H$7:$H$163,$A23,Outflows!$M$7:$M$163,W$6),IF($A23="Sales VAT",SUM(W$8:W$12)*Inputs!$B$7/(1+Inputs!$B$7),IF(AND(W$6&gt;=$E23,W$6&lt;=$F23,Budget!$M13&gt;0),$D23/Budget!$M13,0)))</f>
        <v>0</v>
      </c>
      <c r="X23" s="35">
        <f>IF(X$5="Actual",SUMIFS(Outflows!$L$7:$L$163,Outflows!$H$7:$H$163,$A23,Outflows!$M$7:$M$163,X$6),IF($A23="Sales VAT",SUM(X$8:X$12)*Inputs!$B$7/(1+Inputs!$B$7),IF(AND(X$6&gt;=$E23,X$6&lt;=$F23,Budget!$M13&gt;0),$D23/Budget!$M13,0)))</f>
        <v>0</v>
      </c>
      <c r="Y23" s="35">
        <f>IF(Y$5="Actual",SUMIFS(Outflows!$L$7:$L$163,Outflows!$H$7:$H$163,$A23,Outflows!$M$7:$M$163,Y$6),IF($A23="Sales VAT",SUM(Y$8:Y$12)*Inputs!$B$7/(1+Inputs!$B$7),IF(AND(Y$6&gt;=$E23,Y$6&lt;=$F23,Budget!$M13&gt;0),$D23/Budget!$M13,0)))</f>
        <v>0</v>
      </c>
      <c r="Z23" s="35">
        <f>IF(Z$5="Actual",SUMIFS(Outflows!$L$7:$L$163,Outflows!$H$7:$H$163,$A23,Outflows!$M$7:$M$163,Z$6),IF($A23="Sales VAT",SUM(Z$8:Z$12)*Inputs!$B$7/(1+Inputs!$B$7),IF(AND(Z$6&gt;=$E23,Z$6&lt;=$F23,Budget!$M13&gt;0),$D23/Budget!$M13,0)))</f>
        <v>0</v>
      </c>
      <c r="AA23" s="35">
        <f>IF(AA$5="Actual",SUMIFS(Outflows!$L$7:$L$163,Outflows!$H$7:$H$163,$A23,Outflows!$M$7:$M$163,AA$6),IF($A23="Sales VAT",SUM(AA$8:AA$12)*Inputs!$B$7/(1+Inputs!$B$7),IF(AND(AA$6&gt;=$E23,AA$6&lt;=$F23,Budget!$M13&gt;0),$D23/Budget!$M13,0)))</f>
        <v>0</v>
      </c>
      <c r="AB23" s="35">
        <f>IF(AB$5="Actual",SUMIFS(Outflows!$L$7:$L$163,Outflows!$H$7:$H$163,$A23,Outflows!$M$7:$M$163,AB$6),IF($A23="Sales VAT",SUM(AB$8:AB$12)*Inputs!$B$7/(1+Inputs!$B$7),IF(AND(AB$6&gt;=$E23,AB$6&lt;=$F23,Budget!$M13&gt;0),$D23/Budget!$M13,0)))</f>
        <v>0</v>
      </c>
      <c r="AC23" s="35">
        <f>IF(AC$5="Actual",SUMIFS(Outflows!$L$7:$L$163,Outflows!$H$7:$H$163,$A23,Outflows!$M$7:$M$163,AC$6),IF($A23="Sales VAT",SUM(AC$8:AC$12)*Inputs!$B$7/(1+Inputs!$B$7),IF(AND(AC$6&gt;=$E23,AC$6&lt;=$F23,Budget!$M13&gt;0),$D23/Budget!$M13,0)))</f>
        <v>0</v>
      </c>
      <c r="AD23" s="35">
        <f>IF(AD$5="Actual",SUMIFS(Outflows!$L$7:$L$163,Outflows!$H$7:$H$163,$A23,Outflows!$M$7:$M$163,AD$6),IF($A23="Sales VAT",SUM(AD$8:AD$12)*Inputs!$B$7/(1+Inputs!$B$7),IF(AND(AD$6&gt;=$E23,AD$6&lt;=$F23,Budget!$M13&gt;0),$D23/Budget!$M13,0)))</f>
        <v>23304.922222166661</v>
      </c>
      <c r="AE23" s="35">
        <f>IF(AE$5="Actual",SUMIFS(Outflows!$L$7:$L$163,Outflows!$H$7:$H$163,$A23,Outflows!$M$7:$M$163,AE$6),IF($A23="Sales VAT",SUM(AE$8:AE$12)*Inputs!$B$7/(1+Inputs!$B$7),IF(AND(AE$6&gt;=$E23,AE$6&lt;=$F23,Budget!$M13&gt;0),$D23/Budget!$M13,0)))</f>
        <v>23304.922222166661</v>
      </c>
      <c r="AF23" s="35">
        <f>IF(AF$5="Actual",SUMIFS(Outflows!$L$7:$L$163,Outflows!$H$7:$H$163,$A23,Outflows!$M$7:$M$163,AF$6),IF($A23="Sales VAT",SUM(AF$8:AF$12)*Inputs!$B$7/(1+Inputs!$B$7),IF(AND(AF$6&gt;=$E23,AF$6&lt;=$F23,Budget!$M13&gt;0),$D23/Budget!$M13,0)))</f>
        <v>23304.922222166661</v>
      </c>
      <c r="AG23" s="35">
        <f>IF(AG$5="Actual",SUMIFS(Outflows!$L$7:$L$163,Outflows!$H$7:$H$163,$A23,Outflows!$M$7:$M$163,AG$6),IF($A23="Sales VAT",SUM(AG$8:AG$12)*Inputs!$B$7/(1+Inputs!$B$7),IF(AND(AG$6&gt;=$E23,AG$6&lt;=$F23,Budget!$M13&gt;0),$D23/Budget!$M13,0)))</f>
        <v>23304.922222166661</v>
      </c>
      <c r="AH23" s="35">
        <f>IF(AH$5="Actual",SUMIFS(Outflows!$L$7:$L$163,Outflows!$H$7:$H$163,$A23,Outflows!$M$7:$M$163,AH$6),IF($A23="Sales VAT",SUM(AH$8:AH$12)*Inputs!$B$7/(1+Inputs!$B$7),IF(AND(AH$6&gt;=$E23,AH$6&lt;=$F23,Budget!$M13&gt;0),$D23/Budget!$M13,0)))</f>
        <v>23304.922222166661</v>
      </c>
      <c r="AI23" s="35">
        <f>IF(AI$5="Actual",SUMIFS(Outflows!$L$7:$L$163,Outflows!$H$7:$H$163,$A23,Outflows!$M$7:$M$163,AI$6),IF($A23="Sales VAT",SUM(AI$8:AI$12)*Inputs!$B$7/(1+Inputs!$B$7),IF(AND(AI$6&gt;=$E23,AI$6&lt;=$F23,Budget!$M13&gt;0),$D23/Budget!$M13,0)))</f>
        <v>23304.922222166661</v>
      </c>
      <c r="AJ23" s="35">
        <f>IF(AJ$5="Actual",SUMIFS(Outflows!$L$7:$L$163,Outflows!$H$7:$H$163,$A23,Outflows!$M$7:$M$163,AJ$6),IF($A23="Sales VAT",SUM(AJ$8:AJ$12)*Inputs!$B$7/(1+Inputs!$B$7),IF(AND(AJ$6&gt;=$E23,AJ$6&lt;=$F23,Budget!$M13&gt;0),$D23/Budget!$M13,0)))</f>
        <v>0</v>
      </c>
      <c r="AK23" s="35">
        <f>IF(AK$5="Actual",SUMIFS(Outflows!$L$7:$L$163,Outflows!$H$7:$H$163,$A23,Outflows!$M$7:$M$163,AK$6),IF($A23="Sales VAT",SUM(AK$8:AK$12)*Inputs!$B$7/(1+Inputs!$B$7),IF(AND(AK$6&gt;=$E23,AK$6&lt;=$F23,Budget!$M13&gt;0),$D23/Budget!$M13,0)))</f>
        <v>0</v>
      </c>
      <c r="AL23" s="35">
        <f>IF(AL$5="Actual",SUMIFS(Outflows!$L$7:$L$163,Outflows!$H$7:$H$163,$A23,Outflows!$M$7:$M$163,AL$6),IF($A23="Sales VAT",SUM(AL$8:AL$12)*Inputs!$B$7/(1+Inputs!$B$7),IF(AND(AL$6&gt;=$E23,AL$6&lt;=$F23,Budget!$M13&gt;0),$D23/Budget!$M13,0)))</f>
        <v>0</v>
      </c>
      <c r="AM23" s="35">
        <f>IF(AM$5="Actual",SUMIFS(Outflows!$L$7:$L$163,Outflows!$H$7:$H$163,$A23,Outflows!$M$7:$M$163,AM$6),IF($A23="Sales VAT",SUM(AM$8:AM$12)*Inputs!$B$7/(1+Inputs!$B$7),IF(AND(AM$6&gt;=$E23,AM$6&lt;=$F23,Budget!$M13&gt;0),$D23/Budget!$M13,0)))</f>
        <v>0</v>
      </c>
      <c r="AN23" s="35">
        <f>IF(AN$5="Actual",SUMIFS(Outflows!$L$7:$L$163,Outflows!$H$7:$H$163,$A23,Outflows!$M$7:$M$163,AN$6),IF($A23="Sales VAT",SUM(AN$8:AN$12)*Inputs!$B$7/(1+Inputs!$B$7),IF(AND(AN$6&gt;=$E23,AN$6&lt;=$F23,Budget!$M13&gt;0),$D23/Budget!$M13,0)))</f>
        <v>0</v>
      </c>
      <c r="AO23" s="35">
        <f>IF(AO$5="Actual",SUMIFS(Outflows!$L$7:$L$163,Outflows!$H$7:$H$163,$A23,Outflows!$M$7:$M$163,AO$6),IF($A23="Sales VAT",SUM(AO$8:AO$12)*Inputs!$B$7/(1+Inputs!$B$7),IF(AND(AO$6&gt;=$E23,AO$6&lt;=$F23,Budget!$M13&gt;0),$D23/Budget!$M13,0)))</f>
        <v>0</v>
      </c>
      <c r="AP23" s="35">
        <f>IF(AP$5="Actual",SUMIFS(Outflows!$L$7:$L$163,Outflows!$H$7:$H$163,$A23,Outflows!$M$7:$M$163,AP$6),IF($A23="Sales VAT",SUM(AP$8:AP$12)*Inputs!$B$7/(1+Inputs!$B$7),IF(AND(AP$6&gt;=$E23,AP$6&lt;=$F23,Budget!$M13&gt;0),$D23/Budget!$M13,0)))</f>
        <v>0</v>
      </c>
      <c r="AQ23" s="35">
        <f>IF(AQ$5="Actual",SUMIFS(Outflows!$L$7:$L$163,Outflows!$H$7:$H$163,$A23,Outflows!$M$7:$M$163,AQ$6),IF($A23="Sales VAT",SUM(AQ$8:AQ$12)*Inputs!$B$7/(1+Inputs!$B$7),IF(AND(AQ$6&gt;=$E23,AQ$6&lt;=$F23,Budget!$M13&gt;0),$D23/Budget!$M13,0)))</f>
        <v>0</v>
      </c>
      <c r="AR23" s="35">
        <f>IF(AR$5="Actual",SUMIFS(Outflows!$L$7:$L$163,Outflows!$H$7:$H$163,$A23,Outflows!$M$7:$M$163,AR$6),IF($A23="Sales VAT",SUM(AR$8:AR$12)*Inputs!$B$7/(1+Inputs!$B$7),IF(AND(AR$6&gt;=$E23,AR$6&lt;=$F23,Budget!$M13&gt;0),$D23/Budget!$M13,0)))</f>
        <v>0</v>
      </c>
      <c r="AS23" s="35">
        <f>IF(AS$5="Actual",SUMIFS(Outflows!$L$7:$L$163,Outflows!$H$7:$H$163,$A23,Outflows!$M$7:$M$163,AS$6),IF($A23="Sales VAT",SUM(AS$8:AS$12)*Inputs!$B$7/(1+Inputs!$B$7),IF(AND(AS$6&gt;=$E23,AS$6&lt;=$F23,Budget!$M13&gt;0),$D23/Budget!$M13,0)))</f>
        <v>0</v>
      </c>
      <c r="AT23" s="35">
        <f>IF(AT$5="Actual",SUMIFS(Outflows!$L$7:$L$163,Outflows!$H$7:$H$163,$A23,Outflows!$M$7:$M$163,AT$6),IF($A23="Sales VAT",SUM(AT$8:AT$12)*Inputs!$B$7/(1+Inputs!$B$7),IF(AND(AT$6&gt;=$E23,AT$6&lt;=$F23,Budget!$M13&gt;0),$D23/Budget!$M13,0)))</f>
        <v>0</v>
      </c>
      <c r="AU23" s="35">
        <f>IF(AU$5="Actual",SUMIFS(Outflows!$L$7:$L$163,Outflows!$H$7:$H$163,$A23,Outflows!$M$7:$M$163,AU$6),IF($A23="Sales VAT",SUM(AU$8:AU$12)*Inputs!$B$7/(1+Inputs!$B$7),IF(AND(AU$6&gt;=$E23,AU$6&lt;=$F23,Budget!$M13&gt;0),$D23/Budget!$M13,0)))</f>
        <v>0</v>
      </c>
      <c r="AV23" s="35">
        <f>IF(AV$5="Actual",SUMIFS(Outflows!$L$7:$L$163,Outflows!$H$7:$H$163,$A23,Outflows!$M$7:$M$163,AV$6),IF($A23="Sales VAT",SUM(AV$8:AV$12)*Inputs!$B$7/(1+Inputs!$B$7),IF(AND(AV$6&gt;=$E23,AV$6&lt;=$F23,Budget!$M13&gt;0),$D23/Budget!$M13,0)))</f>
        <v>0</v>
      </c>
      <c r="AW23" s="35">
        <f>IF(AW$5="Actual",SUMIFS(Outflows!$L$7:$L$163,Outflows!$H$7:$H$163,$A23,Outflows!$M$7:$M$163,AW$6),IF($A23="Sales VAT",SUM(AW$8:AW$12)*Inputs!$B$7/(1+Inputs!$B$7),IF(AND(AW$6&gt;=$E23,AW$6&lt;=$F23,Budget!$M13&gt;0),$D23/Budget!$M13,0)))</f>
        <v>0</v>
      </c>
      <c r="AX23" s="35">
        <f>IF(AX$5="Actual",SUMIFS(Outflows!$L$7:$L$163,Outflows!$H$7:$H$163,$A23,Outflows!$M$7:$M$163,AX$6),IF($A23="Sales VAT",SUM(AX$8:AX$12)*Inputs!$B$7/(1+Inputs!$B$7),IF(AND(AX$6&gt;=$E23,AX$6&lt;=$F23,Budget!$M13&gt;0),$D23/Budget!$M13,0)))</f>
        <v>0</v>
      </c>
      <c r="AY23" s="35">
        <f>IF(AY$5="Actual",SUMIFS(Outflows!$L$7:$L$163,Outflows!$H$7:$H$163,$A23,Outflows!$M$7:$M$163,AY$6),IF($A23="Sales VAT",SUM(AY$8:AY$12)*Inputs!$B$7/(1+Inputs!$B$7),IF(AND(AY$6&gt;=$E23,AY$6&lt;=$F23,Budget!$M13&gt;0),$D23/Budget!$M13,0)))</f>
        <v>0</v>
      </c>
      <c r="AZ23" s="35">
        <f>IF(AZ$5="Actual",SUMIFS(Outflows!$L$7:$L$163,Outflows!$H$7:$H$163,$A23,Outflows!$M$7:$M$163,AZ$6),IF($A23="Sales VAT",SUM(AZ$8:AZ$12)*Inputs!$B$7/(1+Inputs!$B$7),IF(AND(AZ$6&gt;=$E23,AZ$6&lt;=$F23,Budget!$M13&gt;0),$D23/Budget!$M13,0)))</f>
        <v>0</v>
      </c>
      <c r="BA23" s="35">
        <f>IF(BA$5="Actual",SUMIFS(Outflows!$L$7:$L$163,Outflows!$H$7:$H$163,$A23,Outflows!$M$7:$M$163,BA$6),IF($A23="Sales VAT",SUM(BA$8:BA$12)*Inputs!$B$7/(1+Inputs!$B$7),IF(AND(BA$6&gt;=$E23,BA$6&lt;=$F23,Budget!$M13&gt;0),$D23/Budget!$M13,0)))</f>
        <v>0</v>
      </c>
    </row>
    <row r="24" spans="1:53">
      <c r="A24" s="6" t="str">
        <f>Budget!C14</f>
        <v>Architect Cost</v>
      </c>
      <c r="B24" s="35">
        <f>Budget!G14</f>
        <v>293605.04639999999</v>
      </c>
      <c r="C24" s="35">
        <f>Budget!H14</f>
        <v>223272.05766904238</v>
      </c>
      <c r="D24" s="35">
        <f>Budget!I14</f>
        <v>70332.988730957615</v>
      </c>
      <c r="E24" s="61">
        <f>Budget!K14</f>
        <v>45292</v>
      </c>
      <c r="F24" s="61">
        <f>Budget!L14</f>
        <v>45627</v>
      </c>
      <c r="G24" s="35">
        <f>IF(G$5="Actual",SUMIFS(Outflows!$L$7:$L$163,Outflows!$H$7:$H$163,$A24,Outflows!$M$7:$M$163,G$6),IF($A24="Sales VAT",SUM(G$8:G$12)*Inputs!$B$7/(1+Inputs!$B$7),IF(AND(G$6&gt;=$E24,G$6&lt;=$F24,Budget!$M14&gt;0),$D24/Budget!$M14,0)))</f>
        <v>7489.040428641013</v>
      </c>
      <c r="H24" s="35">
        <f>IF(H$5="Actual",SUMIFS(Outflows!$L$7:$L$163,Outflows!$H$7:$H$163,$A24,Outflows!$M$7:$M$163,H$6),IF($A24="Sales VAT",SUM(H$8:H$12)*Inputs!$B$7/(1+Inputs!$B$7),IF(AND(H$6&gt;=$E24,H$6&lt;=$F24,Budget!$M14&gt;0),$D24/Budget!$M14,0)))</f>
        <v>0</v>
      </c>
      <c r="I24" s="35">
        <f>IF(I$5="Actual",SUMIFS(Outflows!$L$7:$L$163,Outflows!$H$7:$H$163,$A24,Outflows!$M$7:$M$163,I$6),IF($A24="Sales VAT",SUM(I$8:I$12)*Inputs!$B$7/(1+Inputs!$B$7),IF(AND(I$6&gt;=$E24,I$6&lt;=$F24,Budget!$M14&gt;0),$D24/Budget!$M14,0)))</f>
        <v>2496.8789013732835</v>
      </c>
      <c r="J24" s="35">
        <f>IF(J$5="Actual",SUMIFS(Outflows!$L$7:$L$163,Outflows!$H$7:$H$163,$A24,Outflows!$M$7:$M$163,J$6),IF($A24="Sales VAT",SUM(J$8:J$12)*Inputs!$B$7/(1+Inputs!$B$7),IF(AND(J$6&gt;=$E24,J$6&lt;=$F24,Budget!$M14&gt;0),$D24/Budget!$M14,0)))</f>
        <v>7554.6617161716167</v>
      </c>
      <c r="K24" s="35">
        <f>IF(K$5="Actual",SUMIFS(Outflows!$L$7:$L$163,Outflows!$H$7:$H$163,$A24,Outflows!$M$7:$M$163,K$6),IF($A24="Sales VAT",SUM(K$8:K$12)*Inputs!$B$7/(1+Inputs!$B$7),IF(AND(K$6&gt;=$E24,K$6&lt;=$F24,Budget!$M14&gt;0),$D24/Budget!$M14,0)))</f>
        <v>31594.457165948275</v>
      </c>
      <c r="L24" s="35">
        <f>IF(L$5="Actual",SUMIFS(Outflows!$L$7:$L$163,Outflows!$H$7:$H$163,$A24,Outflows!$M$7:$M$163,L$6),IF($A24="Sales VAT",SUM(L$8:L$12)*Inputs!$B$7/(1+Inputs!$B$7),IF(AND(L$6&gt;=$E24,L$6&lt;=$F24,Budget!$M14&gt;0),$D24/Budget!$M14,0)))</f>
        <v>0</v>
      </c>
      <c r="M24" s="35">
        <f>IF(M$5="Actual",SUMIFS(Outflows!$L$7:$L$163,Outflows!$H$7:$H$163,$A24,Outflows!$M$7:$M$163,M$6),IF($A24="Sales VAT",SUM(M$8:M$12)*Inputs!$B$7/(1+Inputs!$B$7),IF(AND(M$6&gt;=$E24,M$6&lt;=$F24,Budget!$M14&gt;0),$D24/Budget!$M14,0)))</f>
        <v>0</v>
      </c>
      <c r="N24" s="35">
        <f>IF(N$5="Actual",SUMIFS(Outflows!$L$7:$L$163,Outflows!$H$7:$H$163,$A24,Outflows!$M$7:$M$163,N$6),IF($A24="Sales VAT",SUM(N$8:N$12)*Inputs!$B$7/(1+Inputs!$B$7),IF(AND(N$6&gt;=$E24,N$6&lt;=$F24,Budget!$M14&gt;0),$D24/Budget!$M14,0)))</f>
        <v>0</v>
      </c>
      <c r="O24" s="35">
        <f>IF(O$5="Actual",SUMIFS(Outflows!$L$7:$L$163,Outflows!$H$7:$H$163,$A24,Outflows!$M$7:$M$163,O$6),IF($A24="Sales VAT",SUM(O$8:O$12)*Inputs!$B$7/(1+Inputs!$B$7),IF(AND(O$6&gt;=$E24,O$6&lt;=$F24,Budget!$M14&gt;0),$D24/Budget!$M14,0)))</f>
        <v>5494.0451679320549</v>
      </c>
      <c r="P24" s="35">
        <f>IF(P$5="Actual",SUMIFS(Outflows!$L$7:$L$163,Outflows!$H$7:$H$163,$A24,Outflows!$M$7:$M$163,P$6),IF($A24="Sales VAT",SUM(P$8:P$12)*Inputs!$B$7/(1+Inputs!$B$7),IF(AND(P$6&gt;=$E24,P$6&lt;=$F24,Budget!$M14&gt;0),$D24/Budget!$M14,0)))</f>
        <v>9004.4925967465206</v>
      </c>
      <c r="Q24" s="35">
        <f>IF(Q$5="Actual",SUMIFS(Outflows!$L$7:$L$163,Outflows!$H$7:$H$163,$A24,Outflows!$M$7:$M$163,Q$6),IF($A24="Sales VAT",SUM(Q$8:Q$12)*Inputs!$B$7/(1+Inputs!$B$7),IF(AND(Q$6&gt;=$E24,Q$6&lt;=$F24,Budget!$M14&gt;0),$D24/Budget!$M14,0)))</f>
        <v>12526.03706058102</v>
      </c>
      <c r="R24" s="35">
        <f>IF(R$5="Actual",SUMIFS(Outflows!$L$7:$L$163,Outflows!$H$7:$H$163,$A24,Outflows!$M$7:$M$163,R$6),IF($A24="Sales VAT",SUM(R$8:R$12)*Inputs!$B$7/(1+Inputs!$B$7),IF(AND(R$6&gt;=$E24,R$6&lt;=$F24,Budget!$M14&gt;0),$D24/Budget!$M14,0)))</f>
        <v>29417.98758261566</v>
      </c>
      <c r="S24" s="35">
        <f>IF(S$5="Actual",SUMIFS(Outflows!$L$7:$L$163,Outflows!$H$7:$H$163,$A24,Outflows!$M$7:$M$163,S$6),IF($A24="Sales VAT",SUM(S$8:S$12)*Inputs!$B$7/(1+Inputs!$B$7),IF(AND(S$6&gt;=$E24,S$6&lt;=$F24,Budget!$M14&gt;0),$D24/Budget!$M14,0)))</f>
        <v>0</v>
      </c>
      <c r="T24" s="35">
        <f>IF(T$5="Actual",SUMIFS(Outflows!$L$7:$L$163,Outflows!$H$7:$H$163,$A24,Outflows!$M$7:$M$163,T$6),IF($A24="Sales VAT",SUM(T$8:T$12)*Inputs!$B$7/(1+Inputs!$B$7),IF(AND(T$6&gt;=$E24,T$6&lt;=$F24,Budget!$M14&gt;0),$D24/Budget!$M14,0)))</f>
        <v>44437.568782366223</v>
      </c>
      <c r="U24" s="35">
        <f>IF(U$5="Actual",SUMIFS(Outflows!$L$7:$L$163,Outflows!$H$7:$H$163,$A24,Outflows!$M$7:$M$163,U$6),IF($A24="Sales VAT",SUM(U$8:U$12)*Inputs!$B$7/(1+Inputs!$B$7),IF(AND(U$6&gt;=$E24,U$6&lt;=$F24,Budget!$M14&gt;0),$D24/Budget!$M14,0)))</f>
        <v>0</v>
      </c>
      <c r="V24" s="35">
        <f>IF(V$5="Actual",SUMIFS(Outflows!$L$7:$L$163,Outflows!$H$7:$H$163,$A24,Outflows!$M$7:$M$163,V$6),IF($A24="Sales VAT",SUM(V$8:V$12)*Inputs!$B$7/(1+Inputs!$B$7),IF(AND(V$6&gt;=$E24,V$6&lt;=$F24,Budget!$M14&gt;0),$D24/Budget!$M14,0)))</f>
        <v>0</v>
      </c>
      <c r="W24" s="35">
        <f>IF(W$5="Actual",SUMIFS(Outflows!$L$7:$L$163,Outflows!$H$7:$H$163,$A24,Outflows!$M$7:$M$163,W$6),IF($A24="Sales VAT",SUM(W$8:W$12)*Inputs!$B$7/(1+Inputs!$B$7),IF(AND(W$6&gt;=$E24,W$6&lt;=$F24,Budget!$M14&gt;0),$D24/Budget!$M14,0)))</f>
        <v>62606.935266666667</v>
      </c>
      <c r="X24" s="35">
        <f>IF(X$5="Actual",SUMIFS(Outflows!$L$7:$L$163,Outflows!$H$7:$H$163,$A24,Outflows!$M$7:$M$163,X$6),IF($A24="Sales VAT",SUM(X$8:X$12)*Inputs!$B$7/(1+Inputs!$B$7),IF(AND(X$6&gt;=$E24,X$6&lt;=$F24,Budget!$M14&gt;0),$D24/Budget!$M14,0)))</f>
        <v>10649.953</v>
      </c>
      <c r="Y24" s="35">
        <f>IF(Y$5="Actual",SUMIFS(Outflows!$L$7:$L$163,Outflows!$H$7:$H$163,$A24,Outflows!$M$7:$M$163,Y$6),IF($A24="Sales VAT",SUM(Y$8:Y$12)*Inputs!$B$7/(1+Inputs!$B$7),IF(AND(Y$6&gt;=$E24,Y$6&lt;=$F24,Budget!$M14&gt;0),$D24/Budget!$M14,0)))</f>
        <v>0</v>
      </c>
      <c r="Z24" s="35">
        <f>IF(Z$5="Actual",SUMIFS(Outflows!$L$7:$L$163,Outflows!$H$7:$H$163,$A24,Outflows!$M$7:$M$163,Z$6),IF($A24="Sales VAT",SUM(Z$8:Z$12)*Inputs!$B$7/(1+Inputs!$B$7),IF(AND(Z$6&gt;=$E24,Z$6&lt;=$F24,Budget!$M14&gt;0),$D24/Budget!$M14,0)))</f>
        <v>0</v>
      </c>
      <c r="AA24" s="35">
        <f>IF(AA$5="Actual",SUMIFS(Outflows!$L$7:$L$163,Outflows!$H$7:$H$163,$A24,Outflows!$M$7:$M$163,AA$6),IF($A24="Sales VAT",SUM(AA$8:AA$12)*Inputs!$B$7/(1+Inputs!$B$7),IF(AND(AA$6&gt;=$E24,AA$6&lt;=$F24,Budget!$M14&gt;0),$D24/Budget!$M14,0)))</f>
        <v>0</v>
      </c>
      <c r="AB24" s="35">
        <f>IF(AB$5="Actual",SUMIFS(Outflows!$L$7:$L$163,Outflows!$H$7:$H$163,$A24,Outflows!$M$7:$M$163,AB$6),IF($A24="Sales VAT",SUM(AB$8:AB$12)*Inputs!$B$7/(1+Inputs!$B$7),IF(AND(AB$6&gt;=$E24,AB$6&lt;=$F24,Budget!$M14&gt;0),$D24/Budget!$M14,0)))</f>
        <v>0</v>
      </c>
      <c r="AC24" s="35">
        <f>IF(AC$5="Actual",SUMIFS(Outflows!$L$7:$L$163,Outflows!$H$7:$H$163,$A24,Outflows!$M$7:$M$163,AC$6),IF($A24="Sales VAT",SUM(AC$8:AC$12)*Inputs!$B$7/(1+Inputs!$B$7),IF(AND(AC$6&gt;=$E24,AC$6&lt;=$F24,Budget!$M14&gt;0),$D24/Budget!$M14,0)))</f>
        <v>0</v>
      </c>
      <c r="AD24" s="35">
        <f>IF(AD$5="Actual",SUMIFS(Outflows!$L$7:$L$163,Outflows!$H$7:$H$163,$A24,Outflows!$M$7:$M$163,AD$6),IF($A24="Sales VAT",SUM(AD$8:AD$12)*Inputs!$B$7/(1+Inputs!$B$7),IF(AND(AD$6&gt;=$E24,AD$6&lt;=$F24,Budget!$M14&gt;0),$D24/Budget!$M14,0)))</f>
        <v>5861.0823942464676</v>
      </c>
      <c r="AE24" s="35">
        <f>IF(AE$5="Actual",SUMIFS(Outflows!$L$7:$L$163,Outflows!$H$7:$H$163,$A24,Outflows!$M$7:$M$163,AE$6),IF($A24="Sales VAT",SUM(AE$8:AE$12)*Inputs!$B$7/(1+Inputs!$B$7),IF(AND(AE$6&gt;=$E24,AE$6&lt;=$F24,Budget!$M14&gt;0),$D24/Budget!$M14,0)))</f>
        <v>5861.0823942464676</v>
      </c>
      <c r="AF24" s="35">
        <f>IF(AF$5="Actual",SUMIFS(Outflows!$L$7:$L$163,Outflows!$H$7:$H$163,$A24,Outflows!$M$7:$M$163,AF$6),IF($A24="Sales VAT",SUM(AF$8:AF$12)*Inputs!$B$7/(1+Inputs!$B$7),IF(AND(AF$6&gt;=$E24,AF$6&lt;=$F24,Budget!$M14&gt;0),$D24/Budget!$M14,0)))</f>
        <v>5861.0823942464676</v>
      </c>
      <c r="AG24" s="35">
        <f>IF(AG$5="Actual",SUMIFS(Outflows!$L$7:$L$163,Outflows!$H$7:$H$163,$A24,Outflows!$M$7:$M$163,AG$6),IF($A24="Sales VAT",SUM(AG$8:AG$12)*Inputs!$B$7/(1+Inputs!$B$7),IF(AND(AG$6&gt;=$E24,AG$6&lt;=$F24,Budget!$M14&gt;0),$D24/Budget!$M14,0)))</f>
        <v>5861.0823942464676</v>
      </c>
      <c r="AH24" s="35">
        <f>IF(AH$5="Actual",SUMIFS(Outflows!$L$7:$L$163,Outflows!$H$7:$H$163,$A24,Outflows!$M$7:$M$163,AH$6),IF($A24="Sales VAT",SUM(AH$8:AH$12)*Inputs!$B$7/(1+Inputs!$B$7),IF(AND(AH$6&gt;=$E24,AH$6&lt;=$F24,Budget!$M14&gt;0),$D24/Budget!$M14,0)))</f>
        <v>5861.0823942464676</v>
      </c>
      <c r="AI24" s="35">
        <f>IF(AI$5="Actual",SUMIFS(Outflows!$L$7:$L$163,Outflows!$H$7:$H$163,$A24,Outflows!$M$7:$M$163,AI$6),IF($A24="Sales VAT",SUM(AI$8:AI$12)*Inputs!$B$7/(1+Inputs!$B$7),IF(AND(AI$6&gt;=$E24,AI$6&lt;=$F24,Budget!$M14&gt;0),$D24/Budget!$M14,0)))</f>
        <v>5861.0823942464676</v>
      </c>
      <c r="AJ24" s="35">
        <f>IF(AJ$5="Actual",SUMIFS(Outflows!$L$7:$L$163,Outflows!$H$7:$H$163,$A24,Outflows!$M$7:$M$163,AJ$6),IF($A24="Sales VAT",SUM(AJ$8:AJ$12)*Inputs!$B$7/(1+Inputs!$B$7),IF(AND(AJ$6&gt;=$E24,AJ$6&lt;=$F24,Budget!$M14&gt;0),$D24/Budget!$M14,0)))</f>
        <v>5861.0823942464676</v>
      </c>
      <c r="AK24" s="35">
        <f>IF(AK$5="Actual",SUMIFS(Outflows!$L$7:$L$163,Outflows!$H$7:$H$163,$A24,Outflows!$M$7:$M$163,AK$6),IF($A24="Sales VAT",SUM(AK$8:AK$12)*Inputs!$B$7/(1+Inputs!$B$7),IF(AND(AK$6&gt;=$E24,AK$6&lt;=$F24,Budget!$M14&gt;0),$D24/Budget!$M14,0)))</f>
        <v>5861.0823942464676</v>
      </c>
      <c r="AL24" s="35">
        <f>IF(AL$5="Actual",SUMIFS(Outflows!$L$7:$L$163,Outflows!$H$7:$H$163,$A24,Outflows!$M$7:$M$163,AL$6),IF($A24="Sales VAT",SUM(AL$8:AL$12)*Inputs!$B$7/(1+Inputs!$B$7),IF(AND(AL$6&gt;=$E24,AL$6&lt;=$F24,Budget!$M14&gt;0),$D24/Budget!$M14,0)))</f>
        <v>5861.0823942464676</v>
      </c>
      <c r="AM24" s="35">
        <f>IF(AM$5="Actual",SUMIFS(Outflows!$L$7:$L$163,Outflows!$H$7:$H$163,$A24,Outflows!$M$7:$M$163,AM$6),IF($A24="Sales VAT",SUM(AM$8:AM$12)*Inputs!$B$7/(1+Inputs!$B$7),IF(AND(AM$6&gt;=$E24,AM$6&lt;=$F24,Budget!$M14&gt;0),$D24/Budget!$M14,0)))</f>
        <v>5861.0823942464676</v>
      </c>
      <c r="AN24" s="35">
        <f>IF(AN$5="Actual",SUMIFS(Outflows!$L$7:$L$163,Outflows!$H$7:$H$163,$A24,Outflows!$M$7:$M$163,AN$6),IF($A24="Sales VAT",SUM(AN$8:AN$12)*Inputs!$B$7/(1+Inputs!$B$7),IF(AND(AN$6&gt;=$E24,AN$6&lt;=$F24,Budget!$M14&gt;0),$D24/Budget!$M14,0)))</f>
        <v>5861.0823942464676</v>
      </c>
      <c r="AO24" s="35">
        <f>IF(AO$5="Actual",SUMIFS(Outflows!$L$7:$L$163,Outflows!$H$7:$H$163,$A24,Outflows!$M$7:$M$163,AO$6),IF($A24="Sales VAT",SUM(AO$8:AO$12)*Inputs!$B$7/(1+Inputs!$B$7),IF(AND(AO$6&gt;=$E24,AO$6&lt;=$F24,Budget!$M14&gt;0),$D24/Budget!$M14,0)))</f>
        <v>5861.0823942464676</v>
      </c>
      <c r="AP24" s="35">
        <f>IF(AP$5="Actual",SUMIFS(Outflows!$L$7:$L$163,Outflows!$H$7:$H$163,$A24,Outflows!$M$7:$M$163,AP$6),IF($A24="Sales VAT",SUM(AP$8:AP$12)*Inputs!$B$7/(1+Inputs!$B$7),IF(AND(AP$6&gt;=$E24,AP$6&lt;=$F24,Budget!$M14&gt;0),$D24/Budget!$M14,0)))</f>
        <v>0</v>
      </c>
      <c r="AQ24" s="35">
        <f>IF(AQ$5="Actual",SUMIFS(Outflows!$L$7:$L$163,Outflows!$H$7:$H$163,$A24,Outflows!$M$7:$M$163,AQ$6),IF($A24="Sales VAT",SUM(AQ$8:AQ$12)*Inputs!$B$7/(1+Inputs!$B$7),IF(AND(AQ$6&gt;=$E24,AQ$6&lt;=$F24,Budget!$M14&gt;0),$D24/Budget!$M14,0)))</f>
        <v>0</v>
      </c>
      <c r="AR24" s="35">
        <f>IF(AR$5="Actual",SUMIFS(Outflows!$L$7:$L$163,Outflows!$H$7:$H$163,$A24,Outflows!$M$7:$M$163,AR$6),IF($A24="Sales VAT",SUM(AR$8:AR$12)*Inputs!$B$7/(1+Inputs!$B$7),IF(AND(AR$6&gt;=$E24,AR$6&lt;=$F24,Budget!$M14&gt;0),$D24/Budget!$M14,0)))</f>
        <v>0</v>
      </c>
      <c r="AS24" s="35">
        <f>IF(AS$5="Actual",SUMIFS(Outflows!$L$7:$L$163,Outflows!$H$7:$H$163,$A24,Outflows!$M$7:$M$163,AS$6),IF($A24="Sales VAT",SUM(AS$8:AS$12)*Inputs!$B$7/(1+Inputs!$B$7),IF(AND(AS$6&gt;=$E24,AS$6&lt;=$F24,Budget!$M14&gt;0),$D24/Budget!$M14,0)))</f>
        <v>0</v>
      </c>
      <c r="AT24" s="35">
        <f>IF(AT$5="Actual",SUMIFS(Outflows!$L$7:$L$163,Outflows!$H$7:$H$163,$A24,Outflows!$M$7:$M$163,AT$6),IF($A24="Sales VAT",SUM(AT$8:AT$12)*Inputs!$B$7/(1+Inputs!$B$7),IF(AND(AT$6&gt;=$E24,AT$6&lt;=$F24,Budget!$M14&gt;0),$D24/Budget!$M14,0)))</f>
        <v>0</v>
      </c>
      <c r="AU24" s="35">
        <f>IF(AU$5="Actual",SUMIFS(Outflows!$L$7:$L$163,Outflows!$H$7:$H$163,$A24,Outflows!$M$7:$M$163,AU$6),IF($A24="Sales VAT",SUM(AU$8:AU$12)*Inputs!$B$7/(1+Inputs!$B$7),IF(AND(AU$6&gt;=$E24,AU$6&lt;=$F24,Budget!$M14&gt;0),$D24/Budget!$M14,0)))</f>
        <v>0</v>
      </c>
      <c r="AV24" s="35">
        <f>IF(AV$5="Actual",SUMIFS(Outflows!$L$7:$L$163,Outflows!$H$7:$H$163,$A24,Outflows!$M$7:$M$163,AV$6),IF($A24="Sales VAT",SUM(AV$8:AV$12)*Inputs!$B$7/(1+Inputs!$B$7),IF(AND(AV$6&gt;=$E24,AV$6&lt;=$F24,Budget!$M14&gt;0),$D24/Budget!$M14,0)))</f>
        <v>0</v>
      </c>
      <c r="AW24" s="35">
        <f>IF(AW$5="Actual",SUMIFS(Outflows!$L$7:$L$163,Outflows!$H$7:$H$163,$A24,Outflows!$M$7:$M$163,AW$6),IF($A24="Sales VAT",SUM(AW$8:AW$12)*Inputs!$B$7/(1+Inputs!$B$7),IF(AND(AW$6&gt;=$E24,AW$6&lt;=$F24,Budget!$M14&gt;0),$D24/Budget!$M14,0)))</f>
        <v>0</v>
      </c>
      <c r="AX24" s="35">
        <f>IF(AX$5="Actual",SUMIFS(Outflows!$L$7:$L$163,Outflows!$H$7:$H$163,$A24,Outflows!$M$7:$M$163,AX$6),IF($A24="Sales VAT",SUM(AX$8:AX$12)*Inputs!$B$7/(1+Inputs!$B$7),IF(AND(AX$6&gt;=$E24,AX$6&lt;=$F24,Budget!$M14&gt;0),$D24/Budget!$M14,0)))</f>
        <v>0</v>
      </c>
      <c r="AY24" s="35">
        <f>IF(AY$5="Actual",SUMIFS(Outflows!$L$7:$L$163,Outflows!$H$7:$H$163,$A24,Outflows!$M$7:$M$163,AY$6),IF($A24="Sales VAT",SUM(AY$8:AY$12)*Inputs!$B$7/(1+Inputs!$B$7),IF(AND(AY$6&gt;=$E24,AY$6&lt;=$F24,Budget!$M14&gt;0),$D24/Budget!$M14,0)))</f>
        <v>0</v>
      </c>
      <c r="AZ24" s="35">
        <f>IF(AZ$5="Actual",SUMIFS(Outflows!$L$7:$L$163,Outflows!$H$7:$H$163,$A24,Outflows!$M$7:$M$163,AZ$6),IF($A24="Sales VAT",SUM(AZ$8:AZ$12)*Inputs!$B$7/(1+Inputs!$B$7),IF(AND(AZ$6&gt;=$E24,AZ$6&lt;=$F24,Budget!$M14&gt;0),$D24/Budget!$M14,0)))</f>
        <v>0</v>
      </c>
      <c r="BA24" s="35">
        <f>IF(BA$5="Actual",SUMIFS(Outflows!$L$7:$L$163,Outflows!$H$7:$H$163,$A24,Outflows!$M$7:$M$163,BA$6),IF($A24="Sales VAT",SUM(BA$8:BA$12)*Inputs!$B$7/(1+Inputs!$B$7),IF(AND(BA$6&gt;=$E24,BA$6&lt;=$F24,Budget!$M14&gt;0),$D24/Budget!$M14,0)))</f>
        <v>0</v>
      </c>
    </row>
    <row r="25" spans="1:53">
      <c r="A25" s="6" t="str">
        <f>Budget!C15</f>
        <v>Interior Designer</v>
      </c>
      <c r="B25" s="35">
        <f>Budget!G15</f>
        <v>180754.618456</v>
      </c>
      <c r="C25" s="35">
        <f>Budget!H15</f>
        <v>49447.282631578957</v>
      </c>
      <c r="D25" s="35">
        <f>Budget!I15</f>
        <v>131307.33582442102</v>
      </c>
      <c r="E25" s="61">
        <f>Budget!K15</f>
        <v>45292</v>
      </c>
      <c r="F25" s="61">
        <f>Budget!L15</f>
        <v>45627</v>
      </c>
      <c r="G25" s="35">
        <f>IF(G$5="Actual",SUMIFS(Outflows!$L$7:$L$163,Outflows!$H$7:$H$163,$A25,Outflows!$M$7:$M$163,G$6),IF($A25="Sales VAT",SUM(G$8:G$12)*Inputs!$B$7/(1+Inputs!$B$7),IF(AND(G$6&gt;=$E25,G$6&lt;=$F25,Budget!$M15&gt;0),$D25/Budget!$M15,0)))</f>
        <v>0</v>
      </c>
      <c r="H25" s="35">
        <f>IF(H$5="Actual",SUMIFS(Outflows!$L$7:$L$163,Outflows!$H$7:$H$163,$A25,Outflows!$M$7:$M$163,H$6),IF($A25="Sales VAT",SUM(H$8:H$12)*Inputs!$B$7/(1+Inputs!$B$7),IF(AND(H$6&gt;=$E25,H$6&lt;=$F25,Budget!$M15&gt;0),$D25/Budget!$M15,0)))</f>
        <v>0</v>
      </c>
      <c r="I25" s="35">
        <f>IF(I$5="Actual",SUMIFS(Outflows!$L$7:$L$163,Outflows!$H$7:$H$163,$A25,Outflows!$M$7:$M$163,I$6),IF($A25="Sales VAT",SUM(I$8:I$12)*Inputs!$B$7/(1+Inputs!$B$7),IF(AND(I$6&gt;=$E25,I$6&lt;=$F25,Budget!$M15&gt;0),$D25/Budget!$M15,0)))</f>
        <v>0</v>
      </c>
      <c r="J25" s="35">
        <f>IF(J$5="Actual",SUMIFS(Outflows!$L$7:$L$163,Outflows!$H$7:$H$163,$A25,Outflows!$M$7:$M$163,J$6),IF($A25="Sales VAT",SUM(J$8:J$12)*Inputs!$B$7/(1+Inputs!$B$7),IF(AND(J$6&gt;=$E25,J$6&lt;=$F25,Budget!$M15&gt;0),$D25/Budget!$M15,0)))</f>
        <v>0</v>
      </c>
      <c r="K25" s="35">
        <f>IF(K$5="Actual",SUMIFS(Outflows!$L$7:$L$163,Outflows!$H$7:$H$163,$A25,Outflows!$M$7:$M$163,K$6),IF($A25="Sales VAT",SUM(K$8:K$12)*Inputs!$B$7/(1+Inputs!$B$7),IF(AND(K$6&gt;=$E25,K$6&lt;=$F25,Budget!$M15&gt;0),$D25/Budget!$M15,0)))</f>
        <v>0</v>
      </c>
      <c r="L25" s="35">
        <f>IF(L$5="Actual",SUMIFS(Outflows!$L$7:$L$163,Outflows!$H$7:$H$163,$A25,Outflows!$M$7:$M$163,L$6),IF($A25="Sales VAT",SUM(L$8:L$12)*Inputs!$B$7/(1+Inputs!$B$7),IF(AND(L$6&gt;=$E25,L$6&lt;=$F25,Budget!$M15&gt;0),$D25/Budget!$M15,0)))</f>
        <v>0</v>
      </c>
      <c r="M25" s="35">
        <f>IF(M$5="Actual",SUMIFS(Outflows!$L$7:$L$163,Outflows!$H$7:$H$163,$A25,Outflows!$M$7:$M$163,M$6),IF($A25="Sales VAT",SUM(M$8:M$12)*Inputs!$B$7/(1+Inputs!$B$7),IF(AND(M$6&gt;=$E25,M$6&lt;=$F25,Budget!$M15&gt;0),$D25/Budget!$M15,0)))</f>
        <v>0</v>
      </c>
      <c r="N25" s="35">
        <f>IF(N$5="Actual",SUMIFS(Outflows!$L$7:$L$163,Outflows!$H$7:$H$163,$A25,Outflows!$M$7:$M$163,N$6),IF($A25="Sales VAT",SUM(N$8:N$12)*Inputs!$B$7/(1+Inputs!$B$7),IF(AND(N$6&gt;=$E25,N$6&lt;=$F25,Budget!$M15&gt;0),$D25/Budget!$M15,0)))</f>
        <v>0</v>
      </c>
      <c r="O25" s="35">
        <f>IF(O$5="Actual",SUMIFS(Outflows!$L$7:$L$163,Outflows!$H$7:$H$163,$A25,Outflows!$M$7:$M$163,O$6),IF($A25="Sales VAT",SUM(O$8:O$12)*Inputs!$B$7/(1+Inputs!$B$7),IF(AND(O$6&gt;=$E25,O$6&lt;=$F25,Budget!$M15&gt;0),$D25/Budget!$M15,0)))</f>
        <v>0</v>
      </c>
      <c r="P25" s="35">
        <f>IF(P$5="Actual",SUMIFS(Outflows!$L$7:$L$163,Outflows!$H$7:$H$163,$A25,Outflows!$M$7:$M$163,P$6),IF($A25="Sales VAT",SUM(P$8:P$12)*Inputs!$B$7/(1+Inputs!$B$7),IF(AND(P$6&gt;=$E25,P$6&lt;=$F25,Budget!$M15&gt;0),$D25/Budget!$M15,0)))</f>
        <v>0</v>
      </c>
      <c r="Q25" s="35">
        <f>IF(Q$5="Actual",SUMIFS(Outflows!$L$7:$L$163,Outflows!$H$7:$H$163,$A25,Outflows!$M$7:$M$163,Q$6),IF($A25="Sales VAT",SUM(Q$8:Q$12)*Inputs!$B$7/(1+Inputs!$B$7),IF(AND(Q$6&gt;=$E25,Q$6&lt;=$F25,Budget!$M15&gt;0),$D25/Budget!$M15,0)))</f>
        <v>0</v>
      </c>
      <c r="R25" s="35">
        <f>IF(R$5="Actual",SUMIFS(Outflows!$L$7:$L$163,Outflows!$H$7:$H$163,$A25,Outflows!$M$7:$M$163,R$6),IF($A25="Sales VAT",SUM(R$8:R$12)*Inputs!$B$7/(1+Inputs!$B$7),IF(AND(R$6&gt;=$E25,R$6&lt;=$F25,Budget!$M15&gt;0),$D25/Budget!$M15,0)))</f>
        <v>0</v>
      </c>
      <c r="S25" s="35">
        <f>IF(S$5="Actual",SUMIFS(Outflows!$L$7:$L$163,Outflows!$H$7:$H$163,$A25,Outflows!$M$7:$M$163,S$6),IF($A25="Sales VAT",SUM(S$8:S$12)*Inputs!$B$7/(1+Inputs!$B$7),IF(AND(S$6&gt;=$E25,S$6&lt;=$F25,Budget!$M15&gt;0),$D25/Budget!$M15,0)))</f>
        <v>0</v>
      </c>
      <c r="T25" s="35">
        <f>IF(T$5="Actual",SUMIFS(Outflows!$L$7:$L$163,Outflows!$H$7:$H$163,$A25,Outflows!$M$7:$M$163,T$6),IF($A25="Sales VAT",SUM(T$8:T$12)*Inputs!$B$7/(1+Inputs!$B$7),IF(AND(T$6&gt;=$E25,T$6&lt;=$F25,Budget!$M15&gt;0),$D25/Budget!$M15,0)))</f>
        <v>24616.552631578954</v>
      </c>
      <c r="U25" s="35">
        <f>IF(U$5="Actual",SUMIFS(Outflows!$L$7:$L$163,Outflows!$H$7:$H$163,$A25,Outflows!$M$7:$M$163,U$6),IF($A25="Sales VAT",SUM(U$8:U$12)*Inputs!$B$7/(1+Inputs!$B$7),IF(AND(U$6&gt;=$E25,U$6&lt;=$F25,Budget!$M15&gt;0),$D25/Budget!$M15,0)))</f>
        <v>0</v>
      </c>
      <c r="V25" s="35">
        <f>IF(V$5="Actual",SUMIFS(Outflows!$L$7:$L$163,Outflows!$H$7:$H$163,$A25,Outflows!$M$7:$M$163,V$6),IF($A25="Sales VAT",SUM(V$8:V$12)*Inputs!$B$7/(1+Inputs!$B$7),IF(AND(V$6&gt;=$E25,V$6&lt;=$F25,Budget!$M15&gt;0),$D25/Budget!$M15,0)))</f>
        <v>7291.76</v>
      </c>
      <c r="W25" s="35">
        <f>IF(W$5="Actual",SUMIFS(Outflows!$L$7:$L$163,Outflows!$H$7:$H$163,$A25,Outflows!$M$7:$M$163,W$6),IF($A25="Sales VAT",SUM(W$8:W$12)*Inputs!$B$7/(1+Inputs!$B$7),IF(AND(W$6&gt;=$E25,W$6&lt;=$F25,Budget!$M15&gt;0),$D25/Budget!$M15,0)))</f>
        <v>14353.109999999999</v>
      </c>
      <c r="X25" s="35">
        <f>IF(X$5="Actual",SUMIFS(Outflows!$L$7:$L$163,Outflows!$H$7:$H$163,$A25,Outflows!$M$7:$M$163,X$6),IF($A25="Sales VAT",SUM(X$8:X$12)*Inputs!$B$7/(1+Inputs!$B$7),IF(AND(X$6&gt;=$E25,X$6&lt;=$F25,Budget!$M15&gt;0),$D25/Budget!$M15,0)))</f>
        <v>0</v>
      </c>
      <c r="Y25" s="35">
        <f>IF(Y$5="Actual",SUMIFS(Outflows!$L$7:$L$163,Outflows!$H$7:$H$163,$A25,Outflows!$M$7:$M$163,Y$6),IF($A25="Sales VAT",SUM(Y$8:Y$12)*Inputs!$B$7/(1+Inputs!$B$7),IF(AND(Y$6&gt;=$E25,Y$6&lt;=$F25,Budget!$M15&gt;0),$D25/Budget!$M15,0)))</f>
        <v>0</v>
      </c>
      <c r="Z25" s="35">
        <f>IF(Z$5="Actual",SUMIFS(Outflows!$L$7:$L$163,Outflows!$H$7:$H$163,$A25,Outflows!$M$7:$M$163,Z$6),IF($A25="Sales VAT",SUM(Z$8:Z$12)*Inputs!$B$7/(1+Inputs!$B$7),IF(AND(Z$6&gt;=$E25,Z$6&lt;=$F25,Budget!$M15&gt;0),$D25/Budget!$M15,0)))</f>
        <v>0</v>
      </c>
      <c r="AA25" s="35">
        <f>IF(AA$5="Actual",SUMIFS(Outflows!$L$7:$L$163,Outflows!$H$7:$H$163,$A25,Outflows!$M$7:$M$163,AA$6),IF($A25="Sales VAT",SUM(AA$8:AA$12)*Inputs!$B$7/(1+Inputs!$B$7),IF(AND(AA$6&gt;=$E25,AA$6&lt;=$F25,Budget!$M15&gt;0),$D25/Budget!$M15,0)))</f>
        <v>3185.86</v>
      </c>
      <c r="AB25" s="35">
        <f>IF(AB$5="Actual",SUMIFS(Outflows!$L$7:$L$163,Outflows!$H$7:$H$163,$A25,Outflows!$M$7:$M$163,AB$6),IF($A25="Sales VAT",SUM(AB$8:AB$12)*Inputs!$B$7/(1+Inputs!$B$7),IF(AND(AB$6&gt;=$E25,AB$6&lt;=$F25,Budget!$M15&gt;0),$D25/Budget!$M15,0)))</f>
        <v>0</v>
      </c>
      <c r="AC25" s="35">
        <f>IF(AC$5="Actual",SUMIFS(Outflows!$L$7:$L$163,Outflows!$H$7:$H$163,$A25,Outflows!$M$7:$M$163,AC$6),IF($A25="Sales VAT",SUM(AC$8:AC$12)*Inputs!$B$7/(1+Inputs!$B$7),IF(AND(AC$6&gt;=$E25,AC$6&lt;=$F25,Budget!$M15&gt;0),$D25/Budget!$M15,0)))</f>
        <v>0</v>
      </c>
      <c r="AD25" s="35">
        <f>IF(AD$5="Actual",SUMIFS(Outflows!$L$7:$L$163,Outflows!$H$7:$H$163,$A25,Outflows!$M$7:$M$163,AD$6),IF($A25="Sales VAT",SUM(AD$8:AD$12)*Inputs!$B$7/(1+Inputs!$B$7),IF(AND(AD$6&gt;=$E25,AD$6&lt;=$F25,Budget!$M15&gt;0),$D25/Budget!$M15,0)))</f>
        <v>10942.277985368419</v>
      </c>
      <c r="AE25" s="35">
        <f>IF(AE$5="Actual",SUMIFS(Outflows!$L$7:$L$163,Outflows!$H$7:$H$163,$A25,Outflows!$M$7:$M$163,AE$6),IF($A25="Sales VAT",SUM(AE$8:AE$12)*Inputs!$B$7/(1+Inputs!$B$7),IF(AND(AE$6&gt;=$E25,AE$6&lt;=$F25,Budget!$M15&gt;0),$D25/Budget!$M15,0)))</f>
        <v>10942.277985368419</v>
      </c>
      <c r="AF25" s="35">
        <f>IF(AF$5="Actual",SUMIFS(Outflows!$L$7:$L$163,Outflows!$H$7:$H$163,$A25,Outflows!$M$7:$M$163,AF$6),IF($A25="Sales VAT",SUM(AF$8:AF$12)*Inputs!$B$7/(1+Inputs!$B$7),IF(AND(AF$6&gt;=$E25,AF$6&lt;=$F25,Budget!$M15&gt;0),$D25/Budget!$M15,0)))</f>
        <v>10942.277985368419</v>
      </c>
      <c r="AG25" s="35">
        <f>IF(AG$5="Actual",SUMIFS(Outflows!$L$7:$L$163,Outflows!$H$7:$H$163,$A25,Outflows!$M$7:$M$163,AG$6),IF($A25="Sales VAT",SUM(AG$8:AG$12)*Inputs!$B$7/(1+Inputs!$B$7),IF(AND(AG$6&gt;=$E25,AG$6&lt;=$F25,Budget!$M15&gt;0),$D25/Budget!$M15,0)))</f>
        <v>10942.277985368419</v>
      </c>
      <c r="AH25" s="35">
        <f>IF(AH$5="Actual",SUMIFS(Outflows!$L$7:$L$163,Outflows!$H$7:$H$163,$A25,Outflows!$M$7:$M$163,AH$6),IF($A25="Sales VAT",SUM(AH$8:AH$12)*Inputs!$B$7/(1+Inputs!$B$7),IF(AND(AH$6&gt;=$E25,AH$6&lt;=$F25,Budget!$M15&gt;0),$D25/Budget!$M15,0)))</f>
        <v>10942.277985368419</v>
      </c>
      <c r="AI25" s="35">
        <f>IF(AI$5="Actual",SUMIFS(Outflows!$L$7:$L$163,Outflows!$H$7:$H$163,$A25,Outflows!$M$7:$M$163,AI$6),IF($A25="Sales VAT",SUM(AI$8:AI$12)*Inputs!$B$7/(1+Inputs!$B$7),IF(AND(AI$6&gt;=$E25,AI$6&lt;=$F25,Budget!$M15&gt;0),$D25/Budget!$M15,0)))</f>
        <v>10942.277985368419</v>
      </c>
      <c r="AJ25" s="35">
        <f>IF(AJ$5="Actual",SUMIFS(Outflows!$L$7:$L$163,Outflows!$H$7:$H$163,$A25,Outflows!$M$7:$M$163,AJ$6),IF($A25="Sales VAT",SUM(AJ$8:AJ$12)*Inputs!$B$7/(1+Inputs!$B$7),IF(AND(AJ$6&gt;=$E25,AJ$6&lt;=$F25,Budget!$M15&gt;0),$D25/Budget!$M15,0)))</f>
        <v>10942.277985368419</v>
      </c>
      <c r="AK25" s="35">
        <f>IF(AK$5="Actual",SUMIFS(Outflows!$L$7:$L$163,Outflows!$H$7:$H$163,$A25,Outflows!$M$7:$M$163,AK$6),IF($A25="Sales VAT",SUM(AK$8:AK$12)*Inputs!$B$7/(1+Inputs!$B$7),IF(AND(AK$6&gt;=$E25,AK$6&lt;=$F25,Budget!$M15&gt;0),$D25/Budget!$M15,0)))</f>
        <v>10942.277985368419</v>
      </c>
      <c r="AL25" s="35">
        <f>IF(AL$5="Actual",SUMIFS(Outflows!$L$7:$L$163,Outflows!$H$7:$H$163,$A25,Outflows!$M$7:$M$163,AL$6),IF($A25="Sales VAT",SUM(AL$8:AL$12)*Inputs!$B$7/(1+Inputs!$B$7),IF(AND(AL$6&gt;=$E25,AL$6&lt;=$F25,Budget!$M15&gt;0),$D25/Budget!$M15,0)))</f>
        <v>10942.277985368419</v>
      </c>
      <c r="AM25" s="35">
        <f>IF(AM$5="Actual",SUMIFS(Outflows!$L$7:$L$163,Outflows!$H$7:$H$163,$A25,Outflows!$M$7:$M$163,AM$6),IF($A25="Sales VAT",SUM(AM$8:AM$12)*Inputs!$B$7/(1+Inputs!$B$7),IF(AND(AM$6&gt;=$E25,AM$6&lt;=$F25,Budget!$M15&gt;0),$D25/Budget!$M15,0)))</f>
        <v>10942.277985368419</v>
      </c>
      <c r="AN25" s="35">
        <f>IF(AN$5="Actual",SUMIFS(Outflows!$L$7:$L$163,Outflows!$H$7:$H$163,$A25,Outflows!$M$7:$M$163,AN$6),IF($A25="Sales VAT",SUM(AN$8:AN$12)*Inputs!$B$7/(1+Inputs!$B$7),IF(AND(AN$6&gt;=$E25,AN$6&lt;=$F25,Budget!$M15&gt;0),$D25/Budget!$M15,0)))</f>
        <v>10942.277985368419</v>
      </c>
      <c r="AO25" s="35">
        <f>IF(AO$5="Actual",SUMIFS(Outflows!$L$7:$L$163,Outflows!$H$7:$H$163,$A25,Outflows!$M$7:$M$163,AO$6),IF($A25="Sales VAT",SUM(AO$8:AO$12)*Inputs!$B$7/(1+Inputs!$B$7),IF(AND(AO$6&gt;=$E25,AO$6&lt;=$F25,Budget!$M15&gt;0),$D25/Budget!$M15,0)))</f>
        <v>10942.277985368419</v>
      </c>
      <c r="AP25" s="35">
        <f>IF(AP$5="Actual",SUMIFS(Outflows!$L$7:$L$163,Outflows!$H$7:$H$163,$A25,Outflows!$M$7:$M$163,AP$6),IF($A25="Sales VAT",SUM(AP$8:AP$12)*Inputs!$B$7/(1+Inputs!$B$7),IF(AND(AP$6&gt;=$E25,AP$6&lt;=$F25,Budget!$M15&gt;0),$D25/Budget!$M15,0)))</f>
        <v>0</v>
      </c>
      <c r="AQ25" s="35">
        <f>IF(AQ$5="Actual",SUMIFS(Outflows!$L$7:$L$163,Outflows!$H$7:$H$163,$A25,Outflows!$M$7:$M$163,AQ$6),IF($A25="Sales VAT",SUM(AQ$8:AQ$12)*Inputs!$B$7/(1+Inputs!$B$7),IF(AND(AQ$6&gt;=$E25,AQ$6&lt;=$F25,Budget!$M15&gt;0),$D25/Budget!$M15,0)))</f>
        <v>0</v>
      </c>
      <c r="AR25" s="35">
        <f>IF(AR$5="Actual",SUMIFS(Outflows!$L$7:$L$163,Outflows!$H$7:$H$163,$A25,Outflows!$M$7:$M$163,AR$6),IF($A25="Sales VAT",SUM(AR$8:AR$12)*Inputs!$B$7/(1+Inputs!$B$7),IF(AND(AR$6&gt;=$E25,AR$6&lt;=$F25,Budget!$M15&gt;0),$D25/Budget!$M15,0)))</f>
        <v>0</v>
      </c>
      <c r="AS25" s="35">
        <f>IF(AS$5="Actual",SUMIFS(Outflows!$L$7:$L$163,Outflows!$H$7:$H$163,$A25,Outflows!$M$7:$M$163,AS$6),IF($A25="Sales VAT",SUM(AS$8:AS$12)*Inputs!$B$7/(1+Inputs!$B$7),IF(AND(AS$6&gt;=$E25,AS$6&lt;=$F25,Budget!$M15&gt;0),$D25/Budget!$M15,0)))</f>
        <v>0</v>
      </c>
      <c r="AT25" s="35">
        <f>IF(AT$5="Actual",SUMIFS(Outflows!$L$7:$L$163,Outflows!$H$7:$H$163,$A25,Outflows!$M$7:$M$163,AT$6),IF($A25="Sales VAT",SUM(AT$8:AT$12)*Inputs!$B$7/(1+Inputs!$B$7),IF(AND(AT$6&gt;=$E25,AT$6&lt;=$F25,Budget!$M15&gt;0),$D25/Budget!$M15,0)))</f>
        <v>0</v>
      </c>
      <c r="AU25" s="35">
        <f>IF(AU$5="Actual",SUMIFS(Outflows!$L$7:$L$163,Outflows!$H$7:$H$163,$A25,Outflows!$M$7:$M$163,AU$6),IF($A25="Sales VAT",SUM(AU$8:AU$12)*Inputs!$B$7/(1+Inputs!$B$7),IF(AND(AU$6&gt;=$E25,AU$6&lt;=$F25,Budget!$M15&gt;0),$D25/Budget!$M15,0)))</f>
        <v>0</v>
      </c>
      <c r="AV25" s="35">
        <f>IF(AV$5="Actual",SUMIFS(Outflows!$L$7:$L$163,Outflows!$H$7:$H$163,$A25,Outflows!$M$7:$M$163,AV$6),IF($A25="Sales VAT",SUM(AV$8:AV$12)*Inputs!$B$7/(1+Inputs!$B$7),IF(AND(AV$6&gt;=$E25,AV$6&lt;=$F25,Budget!$M15&gt;0),$D25/Budget!$M15,0)))</f>
        <v>0</v>
      </c>
      <c r="AW25" s="35">
        <f>IF(AW$5="Actual",SUMIFS(Outflows!$L$7:$L$163,Outflows!$H$7:$H$163,$A25,Outflows!$M$7:$M$163,AW$6),IF($A25="Sales VAT",SUM(AW$8:AW$12)*Inputs!$B$7/(1+Inputs!$B$7),IF(AND(AW$6&gt;=$E25,AW$6&lt;=$F25,Budget!$M15&gt;0),$D25/Budget!$M15,0)))</f>
        <v>0</v>
      </c>
      <c r="AX25" s="35">
        <f>IF(AX$5="Actual",SUMIFS(Outflows!$L$7:$L$163,Outflows!$H$7:$H$163,$A25,Outflows!$M$7:$M$163,AX$6),IF($A25="Sales VAT",SUM(AX$8:AX$12)*Inputs!$B$7/(1+Inputs!$B$7),IF(AND(AX$6&gt;=$E25,AX$6&lt;=$F25,Budget!$M15&gt;0),$D25/Budget!$M15,0)))</f>
        <v>0</v>
      </c>
      <c r="AY25" s="35">
        <f>IF(AY$5="Actual",SUMIFS(Outflows!$L$7:$L$163,Outflows!$H$7:$H$163,$A25,Outflows!$M$7:$M$163,AY$6),IF($A25="Sales VAT",SUM(AY$8:AY$12)*Inputs!$B$7/(1+Inputs!$B$7),IF(AND(AY$6&gt;=$E25,AY$6&lt;=$F25,Budget!$M15&gt;0),$D25/Budget!$M15,0)))</f>
        <v>0</v>
      </c>
      <c r="AZ25" s="35">
        <f>IF(AZ$5="Actual",SUMIFS(Outflows!$L$7:$L$163,Outflows!$H$7:$H$163,$A25,Outflows!$M$7:$M$163,AZ$6),IF($A25="Sales VAT",SUM(AZ$8:AZ$12)*Inputs!$B$7/(1+Inputs!$B$7),IF(AND(AZ$6&gt;=$E25,AZ$6&lt;=$F25,Budget!$M15&gt;0),$D25/Budget!$M15,0)))</f>
        <v>0</v>
      </c>
      <c r="BA25" s="35">
        <f>IF(BA$5="Actual",SUMIFS(Outflows!$L$7:$L$163,Outflows!$H$7:$H$163,$A25,Outflows!$M$7:$M$163,BA$6),IF($A25="Sales VAT",SUM(BA$8:BA$12)*Inputs!$B$7/(1+Inputs!$B$7),IF(AND(BA$6&gt;=$E25,BA$6&lt;=$F25,Budget!$M15&gt;0),$D25/Budget!$M15,0)))</f>
        <v>0</v>
      </c>
    </row>
    <row r="26" spans="1:53">
      <c r="A26" s="6" t="str">
        <f>Budget!C16</f>
        <v>Landscape Designer</v>
      </c>
      <c r="B26" s="35">
        <f>Budget!G16</f>
        <v>30412.440332999999</v>
      </c>
      <c r="C26" s="35">
        <f>Budget!H16</f>
        <v>0</v>
      </c>
      <c r="D26" s="35">
        <f>Budget!I16</f>
        <v>30412.440332999999</v>
      </c>
      <c r="E26" s="61">
        <f>Budget!K16</f>
        <v>45292</v>
      </c>
      <c r="F26" s="61">
        <f>Budget!L16</f>
        <v>45627</v>
      </c>
      <c r="G26" s="35">
        <f>IF(G$5="Actual",SUMIFS(Outflows!$L$7:$L$163,Outflows!$H$7:$H$163,$A26,Outflows!$M$7:$M$163,G$6),IF($A26="Sales VAT",SUM(G$8:G$12)*Inputs!$B$7/(1+Inputs!$B$7),IF(AND(G$6&gt;=$E26,G$6&lt;=$F26,Budget!$M16&gt;0),$D26/Budget!$M16,0)))</f>
        <v>0</v>
      </c>
      <c r="H26" s="35">
        <f>IF(H$5="Actual",SUMIFS(Outflows!$L$7:$L$163,Outflows!$H$7:$H$163,$A26,Outflows!$M$7:$M$163,H$6),IF($A26="Sales VAT",SUM(H$8:H$12)*Inputs!$B$7/(1+Inputs!$B$7),IF(AND(H$6&gt;=$E26,H$6&lt;=$F26,Budget!$M16&gt;0),$D26/Budget!$M16,0)))</f>
        <v>0</v>
      </c>
      <c r="I26" s="35">
        <f>IF(I$5="Actual",SUMIFS(Outflows!$L$7:$L$163,Outflows!$H$7:$H$163,$A26,Outflows!$M$7:$M$163,I$6),IF($A26="Sales VAT",SUM(I$8:I$12)*Inputs!$B$7/(1+Inputs!$B$7),IF(AND(I$6&gt;=$E26,I$6&lt;=$F26,Budget!$M16&gt;0),$D26/Budget!$M16,0)))</f>
        <v>0</v>
      </c>
      <c r="J26" s="35">
        <f>IF(J$5="Actual",SUMIFS(Outflows!$L$7:$L$163,Outflows!$H$7:$H$163,$A26,Outflows!$M$7:$M$163,J$6),IF($A26="Sales VAT",SUM(J$8:J$12)*Inputs!$B$7/(1+Inputs!$B$7),IF(AND(J$6&gt;=$E26,J$6&lt;=$F26,Budget!$M16&gt;0),$D26/Budget!$M16,0)))</f>
        <v>0</v>
      </c>
      <c r="K26" s="35">
        <f>IF(K$5="Actual",SUMIFS(Outflows!$L$7:$L$163,Outflows!$H$7:$H$163,$A26,Outflows!$M$7:$M$163,K$6),IF($A26="Sales VAT",SUM(K$8:K$12)*Inputs!$B$7/(1+Inputs!$B$7),IF(AND(K$6&gt;=$E26,K$6&lt;=$F26,Budget!$M16&gt;0),$D26/Budget!$M16,0)))</f>
        <v>0</v>
      </c>
      <c r="L26" s="35">
        <f>IF(L$5="Actual",SUMIFS(Outflows!$L$7:$L$163,Outflows!$H$7:$H$163,$A26,Outflows!$M$7:$M$163,L$6),IF($A26="Sales VAT",SUM(L$8:L$12)*Inputs!$B$7/(1+Inputs!$B$7),IF(AND(L$6&gt;=$E26,L$6&lt;=$F26,Budget!$M16&gt;0),$D26/Budget!$M16,0)))</f>
        <v>0</v>
      </c>
      <c r="M26" s="35">
        <f>IF(M$5="Actual",SUMIFS(Outflows!$L$7:$L$163,Outflows!$H$7:$H$163,$A26,Outflows!$M$7:$M$163,M$6),IF($A26="Sales VAT",SUM(M$8:M$12)*Inputs!$B$7/(1+Inputs!$B$7),IF(AND(M$6&gt;=$E26,M$6&lt;=$F26,Budget!$M16&gt;0),$D26/Budget!$M16,0)))</f>
        <v>0</v>
      </c>
      <c r="N26" s="35">
        <f>IF(N$5="Actual",SUMIFS(Outflows!$L$7:$L$163,Outflows!$H$7:$H$163,$A26,Outflows!$M$7:$M$163,N$6),IF($A26="Sales VAT",SUM(N$8:N$12)*Inputs!$B$7/(1+Inputs!$B$7),IF(AND(N$6&gt;=$E26,N$6&lt;=$F26,Budget!$M16&gt;0),$D26/Budget!$M16,0)))</f>
        <v>0</v>
      </c>
      <c r="O26" s="35">
        <f>IF(O$5="Actual",SUMIFS(Outflows!$L$7:$L$163,Outflows!$H$7:$H$163,$A26,Outflows!$M$7:$M$163,O$6),IF($A26="Sales VAT",SUM(O$8:O$12)*Inputs!$B$7/(1+Inputs!$B$7),IF(AND(O$6&gt;=$E26,O$6&lt;=$F26,Budget!$M16&gt;0),$D26/Budget!$M16,0)))</f>
        <v>0</v>
      </c>
      <c r="P26" s="35">
        <f>IF(P$5="Actual",SUMIFS(Outflows!$L$7:$L$163,Outflows!$H$7:$H$163,$A26,Outflows!$M$7:$M$163,P$6),IF($A26="Sales VAT",SUM(P$8:P$12)*Inputs!$B$7/(1+Inputs!$B$7),IF(AND(P$6&gt;=$E26,P$6&lt;=$F26,Budget!$M16&gt;0),$D26/Budget!$M16,0)))</f>
        <v>0</v>
      </c>
      <c r="Q26" s="35">
        <f>IF(Q$5="Actual",SUMIFS(Outflows!$L$7:$L$163,Outflows!$H$7:$H$163,$A26,Outflows!$M$7:$M$163,Q$6),IF($A26="Sales VAT",SUM(Q$8:Q$12)*Inputs!$B$7/(1+Inputs!$B$7),IF(AND(Q$6&gt;=$E26,Q$6&lt;=$F26,Budget!$M16&gt;0),$D26/Budget!$M16,0)))</f>
        <v>0</v>
      </c>
      <c r="R26" s="35">
        <f>IF(R$5="Actual",SUMIFS(Outflows!$L$7:$L$163,Outflows!$H$7:$H$163,$A26,Outflows!$M$7:$M$163,R$6),IF($A26="Sales VAT",SUM(R$8:R$12)*Inputs!$B$7/(1+Inputs!$B$7),IF(AND(R$6&gt;=$E26,R$6&lt;=$F26,Budget!$M16&gt;0),$D26/Budget!$M16,0)))</f>
        <v>0</v>
      </c>
      <c r="S26" s="35">
        <f>IF(S$5="Actual",SUMIFS(Outflows!$L$7:$L$163,Outflows!$H$7:$H$163,$A26,Outflows!$M$7:$M$163,S$6),IF($A26="Sales VAT",SUM(S$8:S$12)*Inputs!$B$7/(1+Inputs!$B$7),IF(AND(S$6&gt;=$E26,S$6&lt;=$F26,Budget!$M16&gt;0),$D26/Budget!$M16,0)))</f>
        <v>0</v>
      </c>
      <c r="T26" s="35">
        <f>IF(T$5="Actual",SUMIFS(Outflows!$L$7:$L$163,Outflows!$H$7:$H$163,$A26,Outflows!$M$7:$M$163,T$6),IF($A26="Sales VAT",SUM(T$8:T$12)*Inputs!$B$7/(1+Inputs!$B$7),IF(AND(T$6&gt;=$E26,T$6&lt;=$F26,Budget!$M16&gt;0),$D26/Budget!$M16,0)))</f>
        <v>0</v>
      </c>
      <c r="U26" s="35">
        <f>IF(U$5="Actual",SUMIFS(Outflows!$L$7:$L$163,Outflows!$H$7:$H$163,$A26,Outflows!$M$7:$M$163,U$6),IF($A26="Sales VAT",SUM(U$8:U$12)*Inputs!$B$7/(1+Inputs!$B$7),IF(AND(U$6&gt;=$E26,U$6&lt;=$F26,Budget!$M16&gt;0),$D26/Budget!$M16,0)))</f>
        <v>0</v>
      </c>
      <c r="V26" s="35">
        <f>IF(V$5="Actual",SUMIFS(Outflows!$L$7:$L$163,Outflows!$H$7:$H$163,$A26,Outflows!$M$7:$M$163,V$6),IF($A26="Sales VAT",SUM(V$8:V$12)*Inputs!$B$7/(1+Inputs!$B$7),IF(AND(V$6&gt;=$E26,V$6&lt;=$F26,Budget!$M16&gt;0),$D26/Budget!$M16,0)))</f>
        <v>0</v>
      </c>
      <c r="W26" s="35">
        <f>IF(W$5="Actual",SUMIFS(Outflows!$L$7:$L$163,Outflows!$H$7:$H$163,$A26,Outflows!$M$7:$M$163,W$6),IF($A26="Sales VAT",SUM(W$8:W$12)*Inputs!$B$7/(1+Inputs!$B$7),IF(AND(W$6&gt;=$E26,W$6&lt;=$F26,Budget!$M16&gt;0),$D26/Budget!$M16,0)))</f>
        <v>0</v>
      </c>
      <c r="X26" s="35">
        <f>IF(X$5="Actual",SUMIFS(Outflows!$L$7:$L$163,Outflows!$H$7:$H$163,$A26,Outflows!$M$7:$M$163,X$6),IF($A26="Sales VAT",SUM(X$8:X$12)*Inputs!$B$7/(1+Inputs!$B$7),IF(AND(X$6&gt;=$E26,X$6&lt;=$F26,Budget!$M16&gt;0),$D26/Budget!$M16,0)))</f>
        <v>0</v>
      </c>
      <c r="Y26" s="35">
        <f>IF(Y$5="Actual",SUMIFS(Outflows!$L$7:$L$163,Outflows!$H$7:$H$163,$A26,Outflows!$M$7:$M$163,Y$6),IF($A26="Sales VAT",SUM(Y$8:Y$12)*Inputs!$B$7/(1+Inputs!$B$7),IF(AND(Y$6&gt;=$E26,Y$6&lt;=$F26,Budget!$M16&gt;0),$D26/Budget!$M16,0)))</f>
        <v>0</v>
      </c>
      <c r="Z26" s="35">
        <f>IF(Z$5="Actual",SUMIFS(Outflows!$L$7:$L$163,Outflows!$H$7:$H$163,$A26,Outflows!$M$7:$M$163,Z$6),IF($A26="Sales VAT",SUM(Z$8:Z$12)*Inputs!$B$7/(1+Inputs!$B$7),IF(AND(Z$6&gt;=$E26,Z$6&lt;=$F26,Budget!$M16&gt;0),$D26/Budget!$M16,0)))</f>
        <v>0</v>
      </c>
      <c r="AA26" s="35">
        <f>IF(AA$5="Actual",SUMIFS(Outflows!$L$7:$L$163,Outflows!$H$7:$H$163,$A26,Outflows!$M$7:$M$163,AA$6),IF($A26="Sales VAT",SUM(AA$8:AA$12)*Inputs!$B$7/(1+Inputs!$B$7),IF(AND(AA$6&gt;=$E26,AA$6&lt;=$F26,Budget!$M16&gt;0),$D26/Budget!$M16,0)))</f>
        <v>0</v>
      </c>
      <c r="AB26" s="35">
        <f>IF(AB$5="Actual",SUMIFS(Outflows!$L$7:$L$163,Outflows!$H$7:$H$163,$A26,Outflows!$M$7:$M$163,AB$6),IF($A26="Sales VAT",SUM(AB$8:AB$12)*Inputs!$B$7/(1+Inputs!$B$7),IF(AND(AB$6&gt;=$E26,AB$6&lt;=$F26,Budget!$M16&gt;0),$D26/Budget!$M16,0)))</f>
        <v>0</v>
      </c>
      <c r="AC26" s="35">
        <f>IF(AC$5="Actual",SUMIFS(Outflows!$L$7:$L$163,Outflows!$H$7:$H$163,$A26,Outflows!$M$7:$M$163,AC$6),IF($A26="Sales VAT",SUM(AC$8:AC$12)*Inputs!$B$7/(1+Inputs!$B$7),IF(AND(AC$6&gt;=$E26,AC$6&lt;=$F26,Budget!$M16&gt;0),$D26/Budget!$M16,0)))</f>
        <v>0</v>
      </c>
      <c r="AD26" s="35">
        <f>IF(AD$5="Actual",SUMIFS(Outflows!$L$7:$L$163,Outflows!$H$7:$H$163,$A26,Outflows!$M$7:$M$163,AD$6),IF($A26="Sales VAT",SUM(AD$8:AD$12)*Inputs!$B$7/(1+Inputs!$B$7),IF(AND(AD$6&gt;=$E26,AD$6&lt;=$F26,Budget!$M16&gt;0),$D26/Budget!$M16,0)))</f>
        <v>2534.3700277499997</v>
      </c>
      <c r="AE26" s="35">
        <f>IF(AE$5="Actual",SUMIFS(Outflows!$L$7:$L$163,Outflows!$H$7:$H$163,$A26,Outflows!$M$7:$M$163,AE$6),IF($A26="Sales VAT",SUM(AE$8:AE$12)*Inputs!$B$7/(1+Inputs!$B$7),IF(AND(AE$6&gt;=$E26,AE$6&lt;=$F26,Budget!$M16&gt;0),$D26/Budget!$M16,0)))</f>
        <v>2534.3700277499997</v>
      </c>
      <c r="AF26" s="35">
        <f>IF(AF$5="Actual",SUMIFS(Outflows!$L$7:$L$163,Outflows!$H$7:$H$163,$A26,Outflows!$M$7:$M$163,AF$6),IF($A26="Sales VAT",SUM(AF$8:AF$12)*Inputs!$B$7/(1+Inputs!$B$7),IF(AND(AF$6&gt;=$E26,AF$6&lt;=$F26,Budget!$M16&gt;0),$D26/Budget!$M16,0)))</f>
        <v>2534.3700277499997</v>
      </c>
      <c r="AG26" s="35">
        <f>IF(AG$5="Actual",SUMIFS(Outflows!$L$7:$L$163,Outflows!$H$7:$H$163,$A26,Outflows!$M$7:$M$163,AG$6),IF($A26="Sales VAT",SUM(AG$8:AG$12)*Inputs!$B$7/(1+Inputs!$B$7),IF(AND(AG$6&gt;=$E26,AG$6&lt;=$F26,Budget!$M16&gt;0),$D26/Budget!$M16,0)))</f>
        <v>2534.3700277499997</v>
      </c>
      <c r="AH26" s="35">
        <f>IF(AH$5="Actual",SUMIFS(Outflows!$L$7:$L$163,Outflows!$H$7:$H$163,$A26,Outflows!$M$7:$M$163,AH$6),IF($A26="Sales VAT",SUM(AH$8:AH$12)*Inputs!$B$7/(1+Inputs!$B$7),IF(AND(AH$6&gt;=$E26,AH$6&lt;=$F26,Budget!$M16&gt;0),$D26/Budget!$M16,0)))</f>
        <v>2534.3700277499997</v>
      </c>
      <c r="AI26" s="35">
        <f>IF(AI$5="Actual",SUMIFS(Outflows!$L$7:$L$163,Outflows!$H$7:$H$163,$A26,Outflows!$M$7:$M$163,AI$6),IF($A26="Sales VAT",SUM(AI$8:AI$12)*Inputs!$B$7/(1+Inputs!$B$7),IF(AND(AI$6&gt;=$E26,AI$6&lt;=$F26,Budget!$M16&gt;0),$D26/Budget!$M16,0)))</f>
        <v>2534.3700277499997</v>
      </c>
      <c r="AJ26" s="35">
        <f>IF(AJ$5="Actual",SUMIFS(Outflows!$L$7:$L$163,Outflows!$H$7:$H$163,$A26,Outflows!$M$7:$M$163,AJ$6),IF($A26="Sales VAT",SUM(AJ$8:AJ$12)*Inputs!$B$7/(1+Inputs!$B$7),IF(AND(AJ$6&gt;=$E26,AJ$6&lt;=$F26,Budget!$M16&gt;0),$D26/Budget!$M16,0)))</f>
        <v>2534.3700277499997</v>
      </c>
      <c r="AK26" s="35">
        <f>IF(AK$5="Actual",SUMIFS(Outflows!$L$7:$L$163,Outflows!$H$7:$H$163,$A26,Outflows!$M$7:$M$163,AK$6),IF($A26="Sales VAT",SUM(AK$8:AK$12)*Inputs!$B$7/(1+Inputs!$B$7),IF(AND(AK$6&gt;=$E26,AK$6&lt;=$F26,Budget!$M16&gt;0),$D26/Budget!$M16,0)))</f>
        <v>2534.3700277499997</v>
      </c>
      <c r="AL26" s="35">
        <f>IF(AL$5="Actual",SUMIFS(Outflows!$L$7:$L$163,Outflows!$H$7:$H$163,$A26,Outflows!$M$7:$M$163,AL$6),IF($A26="Sales VAT",SUM(AL$8:AL$12)*Inputs!$B$7/(1+Inputs!$B$7),IF(AND(AL$6&gt;=$E26,AL$6&lt;=$F26,Budget!$M16&gt;0),$D26/Budget!$M16,0)))</f>
        <v>2534.3700277499997</v>
      </c>
      <c r="AM26" s="35">
        <f>IF(AM$5="Actual",SUMIFS(Outflows!$L$7:$L$163,Outflows!$H$7:$H$163,$A26,Outflows!$M$7:$M$163,AM$6),IF($A26="Sales VAT",SUM(AM$8:AM$12)*Inputs!$B$7/(1+Inputs!$B$7),IF(AND(AM$6&gt;=$E26,AM$6&lt;=$F26,Budget!$M16&gt;0),$D26/Budget!$M16,0)))</f>
        <v>2534.3700277499997</v>
      </c>
      <c r="AN26" s="35">
        <f>IF(AN$5="Actual",SUMIFS(Outflows!$L$7:$L$163,Outflows!$H$7:$H$163,$A26,Outflows!$M$7:$M$163,AN$6),IF($A26="Sales VAT",SUM(AN$8:AN$12)*Inputs!$B$7/(1+Inputs!$B$7),IF(AND(AN$6&gt;=$E26,AN$6&lt;=$F26,Budget!$M16&gt;0),$D26/Budget!$M16,0)))</f>
        <v>2534.3700277499997</v>
      </c>
      <c r="AO26" s="35">
        <f>IF(AO$5="Actual",SUMIFS(Outflows!$L$7:$L$163,Outflows!$H$7:$H$163,$A26,Outflows!$M$7:$M$163,AO$6),IF($A26="Sales VAT",SUM(AO$8:AO$12)*Inputs!$B$7/(1+Inputs!$B$7),IF(AND(AO$6&gt;=$E26,AO$6&lt;=$F26,Budget!$M16&gt;0),$D26/Budget!$M16,0)))</f>
        <v>2534.3700277499997</v>
      </c>
      <c r="AP26" s="35">
        <f>IF(AP$5="Actual",SUMIFS(Outflows!$L$7:$L$163,Outflows!$H$7:$H$163,$A26,Outflows!$M$7:$M$163,AP$6),IF($A26="Sales VAT",SUM(AP$8:AP$12)*Inputs!$B$7/(1+Inputs!$B$7),IF(AND(AP$6&gt;=$E26,AP$6&lt;=$F26,Budget!$M16&gt;0),$D26/Budget!$M16,0)))</f>
        <v>0</v>
      </c>
      <c r="AQ26" s="35">
        <f>IF(AQ$5="Actual",SUMIFS(Outflows!$L$7:$L$163,Outflows!$H$7:$H$163,$A26,Outflows!$M$7:$M$163,AQ$6),IF($A26="Sales VAT",SUM(AQ$8:AQ$12)*Inputs!$B$7/(1+Inputs!$B$7),IF(AND(AQ$6&gt;=$E26,AQ$6&lt;=$F26,Budget!$M16&gt;0),$D26/Budget!$M16,0)))</f>
        <v>0</v>
      </c>
      <c r="AR26" s="35">
        <f>IF(AR$5="Actual",SUMIFS(Outflows!$L$7:$L$163,Outflows!$H$7:$H$163,$A26,Outflows!$M$7:$M$163,AR$6),IF($A26="Sales VAT",SUM(AR$8:AR$12)*Inputs!$B$7/(1+Inputs!$B$7),IF(AND(AR$6&gt;=$E26,AR$6&lt;=$F26,Budget!$M16&gt;0),$D26/Budget!$M16,0)))</f>
        <v>0</v>
      </c>
      <c r="AS26" s="35">
        <f>IF(AS$5="Actual",SUMIFS(Outflows!$L$7:$L$163,Outflows!$H$7:$H$163,$A26,Outflows!$M$7:$M$163,AS$6),IF($A26="Sales VAT",SUM(AS$8:AS$12)*Inputs!$B$7/(1+Inputs!$B$7),IF(AND(AS$6&gt;=$E26,AS$6&lt;=$F26,Budget!$M16&gt;0),$D26/Budget!$M16,0)))</f>
        <v>0</v>
      </c>
      <c r="AT26" s="35">
        <f>IF(AT$5="Actual",SUMIFS(Outflows!$L$7:$L$163,Outflows!$H$7:$H$163,$A26,Outflows!$M$7:$M$163,AT$6),IF($A26="Sales VAT",SUM(AT$8:AT$12)*Inputs!$B$7/(1+Inputs!$B$7),IF(AND(AT$6&gt;=$E26,AT$6&lt;=$F26,Budget!$M16&gt;0),$D26/Budget!$M16,0)))</f>
        <v>0</v>
      </c>
      <c r="AU26" s="35">
        <f>IF(AU$5="Actual",SUMIFS(Outflows!$L$7:$L$163,Outflows!$H$7:$H$163,$A26,Outflows!$M$7:$M$163,AU$6),IF($A26="Sales VAT",SUM(AU$8:AU$12)*Inputs!$B$7/(1+Inputs!$B$7),IF(AND(AU$6&gt;=$E26,AU$6&lt;=$F26,Budget!$M16&gt;0),$D26/Budget!$M16,0)))</f>
        <v>0</v>
      </c>
      <c r="AV26" s="35">
        <f>IF(AV$5="Actual",SUMIFS(Outflows!$L$7:$L$163,Outflows!$H$7:$H$163,$A26,Outflows!$M$7:$M$163,AV$6),IF($A26="Sales VAT",SUM(AV$8:AV$12)*Inputs!$B$7/(1+Inputs!$B$7),IF(AND(AV$6&gt;=$E26,AV$6&lt;=$F26,Budget!$M16&gt;0),$D26/Budget!$M16,0)))</f>
        <v>0</v>
      </c>
      <c r="AW26" s="35">
        <f>IF(AW$5="Actual",SUMIFS(Outflows!$L$7:$L$163,Outflows!$H$7:$H$163,$A26,Outflows!$M$7:$M$163,AW$6),IF($A26="Sales VAT",SUM(AW$8:AW$12)*Inputs!$B$7/(1+Inputs!$B$7),IF(AND(AW$6&gt;=$E26,AW$6&lt;=$F26,Budget!$M16&gt;0),$D26/Budget!$M16,0)))</f>
        <v>0</v>
      </c>
      <c r="AX26" s="35">
        <f>IF(AX$5="Actual",SUMIFS(Outflows!$L$7:$L$163,Outflows!$H$7:$H$163,$A26,Outflows!$M$7:$M$163,AX$6),IF($A26="Sales VAT",SUM(AX$8:AX$12)*Inputs!$B$7/(1+Inputs!$B$7),IF(AND(AX$6&gt;=$E26,AX$6&lt;=$F26,Budget!$M16&gt;0),$D26/Budget!$M16,0)))</f>
        <v>0</v>
      </c>
      <c r="AY26" s="35">
        <f>IF(AY$5="Actual",SUMIFS(Outflows!$L$7:$L$163,Outflows!$H$7:$H$163,$A26,Outflows!$M$7:$M$163,AY$6),IF($A26="Sales VAT",SUM(AY$8:AY$12)*Inputs!$B$7/(1+Inputs!$B$7),IF(AND(AY$6&gt;=$E26,AY$6&lt;=$F26,Budget!$M16&gt;0),$D26/Budget!$M16,0)))</f>
        <v>0</v>
      </c>
      <c r="AZ26" s="35">
        <f>IF(AZ$5="Actual",SUMIFS(Outflows!$L$7:$L$163,Outflows!$H$7:$H$163,$A26,Outflows!$M$7:$M$163,AZ$6),IF($A26="Sales VAT",SUM(AZ$8:AZ$12)*Inputs!$B$7/(1+Inputs!$B$7),IF(AND(AZ$6&gt;=$E26,AZ$6&lt;=$F26,Budget!$M16&gt;0),$D26/Budget!$M16,0)))</f>
        <v>0</v>
      </c>
      <c r="BA26" s="35">
        <f>IF(BA$5="Actual",SUMIFS(Outflows!$L$7:$L$163,Outflows!$H$7:$H$163,$A26,Outflows!$M$7:$M$163,BA$6),IF($A26="Sales VAT",SUM(BA$8:BA$12)*Inputs!$B$7/(1+Inputs!$B$7),IF(AND(BA$6&gt;=$E26,BA$6&lt;=$F26,Budget!$M16&gt;0),$D26/Budget!$M16,0)))</f>
        <v>0</v>
      </c>
    </row>
    <row r="27" spans="1:53">
      <c r="A27" s="6" t="str">
        <f>Budget!C17</f>
        <v>Structure Engineer</v>
      </c>
      <c r="B27" s="35">
        <f>Budget!G17</f>
        <v>33733.333333000002</v>
      </c>
      <c r="C27" s="35">
        <f>Budget!H17</f>
        <v>14999.265863561259</v>
      </c>
      <c r="D27" s="35">
        <f>Budget!I17</f>
        <v>18734.067469438742</v>
      </c>
      <c r="E27" s="61">
        <f>Budget!K17</f>
        <v>45292</v>
      </c>
      <c r="F27" s="61">
        <f>Budget!L17</f>
        <v>45627</v>
      </c>
      <c r="G27" s="35">
        <f>IF(G$5="Actual",SUMIFS(Outflows!$L$7:$L$163,Outflows!$H$7:$H$163,$A27,Outflows!$M$7:$M$163,G$6),IF($A27="Sales VAT",SUM(G$8:G$12)*Inputs!$B$7/(1+Inputs!$B$7),IF(AND(G$6&gt;=$E27,G$6&lt;=$F27,Budget!$M17&gt;0),$D27/Budget!$M17,0)))</f>
        <v>0</v>
      </c>
      <c r="H27" s="35">
        <f>IF(H$5="Actual",SUMIFS(Outflows!$L$7:$L$163,Outflows!$H$7:$H$163,$A27,Outflows!$M$7:$M$163,H$6),IF($A27="Sales VAT",SUM(H$8:H$12)*Inputs!$B$7/(1+Inputs!$B$7),IF(AND(H$6&gt;=$E27,H$6&lt;=$F27,Budget!$M17&gt;0),$D27/Budget!$M17,0)))</f>
        <v>0</v>
      </c>
      <c r="I27" s="35">
        <f>IF(I$5="Actual",SUMIFS(Outflows!$L$7:$L$163,Outflows!$H$7:$H$163,$A27,Outflows!$M$7:$M$163,I$6),IF($A27="Sales VAT",SUM(I$8:I$12)*Inputs!$B$7/(1+Inputs!$B$7),IF(AND(I$6&gt;=$E27,I$6&lt;=$F27,Budget!$M17&gt;0),$D27/Budget!$M17,0)))</f>
        <v>0</v>
      </c>
      <c r="J27" s="35">
        <f>IF(J$5="Actual",SUMIFS(Outflows!$L$7:$L$163,Outflows!$H$7:$H$163,$A27,Outflows!$M$7:$M$163,J$6),IF($A27="Sales VAT",SUM(J$8:J$12)*Inputs!$B$7/(1+Inputs!$B$7),IF(AND(J$6&gt;=$E27,J$6&lt;=$F27,Budget!$M17&gt;0),$D27/Budget!$M17,0)))</f>
        <v>0</v>
      </c>
      <c r="K27" s="35">
        <f>IF(K$5="Actual",SUMIFS(Outflows!$L$7:$L$163,Outflows!$H$7:$H$163,$A27,Outflows!$M$7:$M$163,K$6),IF($A27="Sales VAT",SUM(K$8:K$12)*Inputs!$B$7/(1+Inputs!$B$7),IF(AND(K$6&gt;=$E27,K$6&lt;=$F27,Budget!$M17&gt;0),$D27/Budget!$M17,0)))</f>
        <v>0</v>
      </c>
      <c r="L27" s="35">
        <f>IF(L$5="Actual",SUMIFS(Outflows!$L$7:$L$163,Outflows!$H$7:$H$163,$A27,Outflows!$M$7:$M$163,L$6),IF($A27="Sales VAT",SUM(L$8:L$12)*Inputs!$B$7/(1+Inputs!$B$7),IF(AND(L$6&gt;=$E27,L$6&lt;=$F27,Budget!$M17&gt;0),$D27/Budget!$M17,0)))</f>
        <v>0</v>
      </c>
      <c r="M27" s="35">
        <f>IF(M$5="Actual",SUMIFS(Outflows!$L$7:$L$163,Outflows!$H$7:$H$163,$A27,Outflows!$M$7:$M$163,M$6),IF($A27="Sales VAT",SUM(M$8:M$12)*Inputs!$B$7/(1+Inputs!$B$7),IF(AND(M$6&gt;=$E27,M$6&lt;=$F27,Budget!$M17&gt;0),$D27/Budget!$M17,0)))</f>
        <v>0</v>
      </c>
      <c r="N27" s="35">
        <f>IF(N$5="Actual",SUMIFS(Outflows!$L$7:$L$163,Outflows!$H$7:$H$163,$A27,Outflows!$M$7:$M$163,N$6),IF($A27="Sales VAT",SUM(N$8:N$12)*Inputs!$B$7/(1+Inputs!$B$7),IF(AND(N$6&gt;=$E27,N$6&lt;=$F27,Budget!$M17&gt;0),$D27/Budget!$M17,0)))</f>
        <v>0</v>
      </c>
      <c r="O27" s="35">
        <f>IF(O$5="Actual",SUMIFS(Outflows!$L$7:$L$163,Outflows!$H$7:$H$163,$A27,Outflows!$M$7:$M$163,O$6),IF($A27="Sales VAT",SUM(O$8:O$12)*Inputs!$B$7/(1+Inputs!$B$7),IF(AND(O$6&gt;=$E27,O$6&lt;=$F27,Budget!$M17&gt;0),$D27/Budget!$M17,0)))</f>
        <v>0</v>
      </c>
      <c r="P27" s="35">
        <f>IF(P$5="Actual",SUMIFS(Outflows!$L$7:$L$163,Outflows!$H$7:$H$163,$A27,Outflows!$M$7:$M$163,P$6),IF($A27="Sales VAT",SUM(P$8:P$12)*Inputs!$B$7/(1+Inputs!$B$7),IF(AND(P$6&gt;=$E27,P$6&lt;=$F27,Budget!$M17&gt;0),$D27/Budget!$M17,0)))</f>
        <v>4270.1912689839228</v>
      </c>
      <c r="Q27" s="35">
        <f>IF(Q$5="Actual",SUMIFS(Outflows!$L$7:$L$163,Outflows!$H$7:$H$163,$A27,Outflows!$M$7:$M$163,Q$6),IF($A27="Sales VAT",SUM(Q$8:Q$12)*Inputs!$B$7/(1+Inputs!$B$7),IF(AND(Q$6&gt;=$E27,Q$6&lt;=$F27,Budget!$M17&gt;0),$D27/Budget!$M17,0)))</f>
        <v>3089.4412306909926</v>
      </c>
      <c r="R27" s="35">
        <f>IF(R$5="Actual",SUMIFS(Outflows!$L$7:$L$163,Outflows!$H$7:$H$163,$A27,Outflows!$M$7:$M$163,R$6),IF($A27="Sales VAT",SUM(R$8:R$12)*Inputs!$B$7/(1+Inputs!$B$7),IF(AND(R$6&gt;=$E27,R$6&lt;=$F27,Budget!$M17&gt;0),$D27/Budget!$M17,0)))</f>
        <v>0</v>
      </c>
      <c r="S27" s="35">
        <f>IF(S$5="Actual",SUMIFS(Outflows!$L$7:$L$163,Outflows!$H$7:$H$163,$A27,Outflows!$M$7:$M$163,S$6),IF($A27="Sales VAT",SUM(S$8:S$12)*Inputs!$B$7/(1+Inputs!$B$7),IF(AND(S$6&gt;=$E27,S$6&lt;=$F27,Budget!$M17&gt;0),$D27/Budget!$M17,0)))</f>
        <v>4399.6333638863425</v>
      </c>
      <c r="T27" s="35">
        <f>IF(T$5="Actual",SUMIFS(Outflows!$L$7:$L$163,Outflows!$H$7:$H$163,$A27,Outflows!$M$7:$M$163,T$6),IF($A27="Sales VAT",SUM(T$8:T$12)*Inputs!$B$7/(1+Inputs!$B$7),IF(AND(T$6&gt;=$E27,T$6&lt;=$F27,Budget!$M17&gt;0),$D27/Budget!$M17,0)))</f>
        <v>0</v>
      </c>
      <c r="U27" s="35">
        <f>IF(U$5="Actual",SUMIFS(Outflows!$L$7:$L$163,Outflows!$H$7:$H$163,$A27,Outflows!$M$7:$M$163,U$6),IF($A27="Sales VAT",SUM(U$8:U$12)*Inputs!$B$7/(1+Inputs!$B$7),IF(AND(U$6&gt;=$E27,U$6&lt;=$F27,Budget!$M17&gt;0),$D27/Budget!$M17,0)))</f>
        <v>3240</v>
      </c>
      <c r="V27" s="35">
        <f>IF(V$5="Actual",SUMIFS(Outflows!$L$7:$L$163,Outflows!$H$7:$H$163,$A27,Outflows!$M$7:$M$163,V$6),IF($A27="Sales VAT",SUM(V$8:V$12)*Inputs!$B$7/(1+Inputs!$B$7),IF(AND(V$6&gt;=$E27,V$6&lt;=$F27,Budget!$M17&gt;0),$D27/Budget!$M17,0)))</f>
        <v>0</v>
      </c>
      <c r="W27" s="35">
        <f>IF(W$5="Actual",SUMIFS(Outflows!$L$7:$L$163,Outflows!$H$7:$H$163,$A27,Outflows!$M$7:$M$163,W$6),IF($A27="Sales VAT",SUM(W$8:W$12)*Inputs!$B$7/(1+Inputs!$B$7),IF(AND(W$6&gt;=$E27,W$6&lt;=$F27,Budget!$M17&gt;0),$D27/Budget!$M17,0)))</f>
        <v>0</v>
      </c>
      <c r="X27" s="35">
        <f>IF(X$5="Actual",SUMIFS(Outflows!$L$7:$L$163,Outflows!$H$7:$H$163,$A27,Outflows!$M$7:$M$163,X$6),IF($A27="Sales VAT",SUM(X$8:X$12)*Inputs!$B$7/(1+Inputs!$B$7),IF(AND(X$6&gt;=$E27,X$6&lt;=$F27,Budget!$M17&gt;0),$D27/Budget!$M17,0)))</f>
        <v>0</v>
      </c>
      <c r="Y27" s="35">
        <f>IF(Y$5="Actual",SUMIFS(Outflows!$L$7:$L$163,Outflows!$H$7:$H$163,$A27,Outflows!$M$7:$M$163,Y$6),IF($A27="Sales VAT",SUM(Y$8:Y$12)*Inputs!$B$7/(1+Inputs!$B$7),IF(AND(Y$6&gt;=$E27,Y$6&lt;=$F27,Budget!$M17&gt;0),$D27/Budget!$M17,0)))</f>
        <v>0</v>
      </c>
      <c r="Z27" s="35">
        <f>IF(Z$5="Actual",SUMIFS(Outflows!$L$7:$L$163,Outflows!$H$7:$H$163,$A27,Outflows!$M$7:$M$163,Z$6),IF($A27="Sales VAT",SUM(Z$8:Z$12)*Inputs!$B$7/(1+Inputs!$B$7),IF(AND(Z$6&gt;=$E27,Z$6&lt;=$F27,Budget!$M17&gt;0),$D27/Budget!$M17,0)))</f>
        <v>0</v>
      </c>
      <c r="AA27" s="35">
        <f>IF(AA$5="Actual",SUMIFS(Outflows!$L$7:$L$163,Outflows!$H$7:$H$163,$A27,Outflows!$M$7:$M$163,AA$6),IF($A27="Sales VAT",SUM(AA$8:AA$12)*Inputs!$B$7/(1+Inputs!$B$7),IF(AND(AA$6&gt;=$E27,AA$6&lt;=$F27,Budget!$M17&gt;0),$D27/Budget!$M17,0)))</f>
        <v>0</v>
      </c>
      <c r="AB27" s="35">
        <f>IF(AB$5="Actual",SUMIFS(Outflows!$L$7:$L$163,Outflows!$H$7:$H$163,$A27,Outflows!$M$7:$M$163,AB$6),IF($A27="Sales VAT",SUM(AB$8:AB$12)*Inputs!$B$7/(1+Inputs!$B$7),IF(AND(AB$6&gt;=$E27,AB$6&lt;=$F27,Budget!$M17&gt;0),$D27/Budget!$M17,0)))</f>
        <v>0</v>
      </c>
      <c r="AC27" s="35">
        <f>IF(AC$5="Actual",SUMIFS(Outflows!$L$7:$L$163,Outflows!$H$7:$H$163,$A27,Outflows!$M$7:$M$163,AC$6),IF($A27="Sales VAT",SUM(AC$8:AC$12)*Inputs!$B$7/(1+Inputs!$B$7),IF(AND(AC$6&gt;=$E27,AC$6&lt;=$F27,Budget!$M17&gt;0),$D27/Budget!$M17,0)))</f>
        <v>0</v>
      </c>
      <c r="AD27" s="35">
        <f>IF(AD$5="Actual",SUMIFS(Outflows!$L$7:$L$163,Outflows!$H$7:$H$163,$A27,Outflows!$M$7:$M$163,AD$6),IF($A27="Sales VAT",SUM(AD$8:AD$12)*Inputs!$B$7/(1+Inputs!$B$7),IF(AND(AD$6&gt;=$E27,AD$6&lt;=$F27,Budget!$M17&gt;0),$D27/Budget!$M17,0)))</f>
        <v>1561.1722891198951</v>
      </c>
      <c r="AE27" s="35">
        <f>IF(AE$5="Actual",SUMIFS(Outflows!$L$7:$L$163,Outflows!$H$7:$H$163,$A27,Outflows!$M$7:$M$163,AE$6),IF($A27="Sales VAT",SUM(AE$8:AE$12)*Inputs!$B$7/(1+Inputs!$B$7),IF(AND(AE$6&gt;=$E27,AE$6&lt;=$F27,Budget!$M17&gt;0),$D27/Budget!$M17,0)))</f>
        <v>1561.1722891198951</v>
      </c>
      <c r="AF27" s="35">
        <f>IF(AF$5="Actual",SUMIFS(Outflows!$L$7:$L$163,Outflows!$H$7:$H$163,$A27,Outflows!$M$7:$M$163,AF$6),IF($A27="Sales VAT",SUM(AF$8:AF$12)*Inputs!$B$7/(1+Inputs!$B$7),IF(AND(AF$6&gt;=$E27,AF$6&lt;=$F27,Budget!$M17&gt;0),$D27/Budget!$M17,0)))</f>
        <v>1561.1722891198951</v>
      </c>
      <c r="AG27" s="35">
        <f>IF(AG$5="Actual",SUMIFS(Outflows!$L$7:$L$163,Outflows!$H$7:$H$163,$A27,Outflows!$M$7:$M$163,AG$6),IF($A27="Sales VAT",SUM(AG$8:AG$12)*Inputs!$B$7/(1+Inputs!$B$7),IF(AND(AG$6&gt;=$E27,AG$6&lt;=$F27,Budget!$M17&gt;0),$D27/Budget!$M17,0)))</f>
        <v>1561.1722891198951</v>
      </c>
      <c r="AH27" s="35">
        <f>IF(AH$5="Actual",SUMIFS(Outflows!$L$7:$L$163,Outflows!$H$7:$H$163,$A27,Outflows!$M$7:$M$163,AH$6),IF($A27="Sales VAT",SUM(AH$8:AH$12)*Inputs!$B$7/(1+Inputs!$B$7),IF(AND(AH$6&gt;=$E27,AH$6&lt;=$F27,Budget!$M17&gt;0),$D27/Budget!$M17,0)))</f>
        <v>1561.1722891198951</v>
      </c>
      <c r="AI27" s="35">
        <f>IF(AI$5="Actual",SUMIFS(Outflows!$L$7:$L$163,Outflows!$H$7:$H$163,$A27,Outflows!$M$7:$M$163,AI$6),IF($A27="Sales VAT",SUM(AI$8:AI$12)*Inputs!$B$7/(1+Inputs!$B$7),IF(AND(AI$6&gt;=$E27,AI$6&lt;=$F27,Budget!$M17&gt;0),$D27/Budget!$M17,0)))</f>
        <v>1561.1722891198951</v>
      </c>
      <c r="AJ27" s="35">
        <f>IF(AJ$5="Actual",SUMIFS(Outflows!$L$7:$L$163,Outflows!$H$7:$H$163,$A27,Outflows!$M$7:$M$163,AJ$6),IF($A27="Sales VAT",SUM(AJ$8:AJ$12)*Inputs!$B$7/(1+Inputs!$B$7),IF(AND(AJ$6&gt;=$E27,AJ$6&lt;=$F27,Budget!$M17&gt;0),$D27/Budget!$M17,0)))</f>
        <v>1561.1722891198951</v>
      </c>
      <c r="AK27" s="35">
        <f>IF(AK$5="Actual",SUMIFS(Outflows!$L$7:$L$163,Outflows!$H$7:$H$163,$A27,Outflows!$M$7:$M$163,AK$6),IF($A27="Sales VAT",SUM(AK$8:AK$12)*Inputs!$B$7/(1+Inputs!$B$7),IF(AND(AK$6&gt;=$E27,AK$6&lt;=$F27,Budget!$M17&gt;0),$D27/Budget!$M17,0)))</f>
        <v>1561.1722891198951</v>
      </c>
      <c r="AL27" s="35">
        <f>IF(AL$5="Actual",SUMIFS(Outflows!$L$7:$L$163,Outflows!$H$7:$H$163,$A27,Outflows!$M$7:$M$163,AL$6),IF($A27="Sales VAT",SUM(AL$8:AL$12)*Inputs!$B$7/(1+Inputs!$B$7),IF(AND(AL$6&gt;=$E27,AL$6&lt;=$F27,Budget!$M17&gt;0),$D27/Budget!$M17,0)))</f>
        <v>1561.1722891198951</v>
      </c>
      <c r="AM27" s="35">
        <f>IF(AM$5="Actual",SUMIFS(Outflows!$L$7:$L$163,Outflows!$H$7:$H$163,$A27,Outflows!$M$7:$M$163,AM$6),IF($A27="Sales VAT",SUM(AM$8:AM$12)*Inputs!$B$7/(1+Inputs!$B$7),IF(AND(AM$6&gt;=$E27,AM$6&lt;=$F27,Budget!$M17&gt;0),$D27/Budget!$M17,0)))</f>
        <v>1561.1722891198951</v>
      </c>
      <c r="AN27" s="35">
        <f>IF(AN$5="Actual",SUMIFS(Outflows!$L$7:$L$163,Outflows!$H$7:$H$163,$A27,Outflows!$M$7:$M$163,AN$6),IF($A27="Sales VAT",SUM(AN$8:AN$12)*Inputs!$B$7/(1+Inputs!$B$7),IF(AND(AN$6&gt;=$E27,AN$6&lt;=$F27,Budget!$M17&gt;0),$D27/Budget!$M17,0)))</f>
        <v>1561.1722891198951</v>
      </c>
      <c r="AO27" s="35">
        <f>IF(AO$5="Actual",SUMIFS(Outflows!$L$7:$L$163,Outflows!$H$7:$H$163,$A27,Outflows!$M$7:$M$163,AO$6),IF($A27="Sales VAT",SUM(AO$8:AO$12)*Inputs!$B$7/(1+Inputs!$B$7),IF(AND(AO$6&gt;=$E27,AO$6&lt;=$F27,Budget!$M17&gt;0),$D27/Budget!$M17,0)))</f>
        <v>1561.1722891198951</v>
      </c>
      <c r="AP27" s="35">
        <f>IF(AP$5="Actual",SUMIFS(Outflows!$L$7:$L$163,Outflows!$H$7:$H$163,$A27,Outflows!$M$7:$M$163,AP$6),IF($A27="Sales VAT",SUM(AP$8:AP$12)*Inputs!$B$7/(1+Inputs!$B$7),IF(AND(AP$6&gt;=$E27,AP$6&lt;=$F27,Budget!$M17&gt;0),$D27/Budget!$M17,0)))</f>
        <v>0</v>
      </c>
      <c r="AQ27" s="35">
        <f>IF(AQ$5="Actual",SUMIFS(Outflows!$L$7:$L$163,Outflows!$H$7:$H$163,$A27,Outflows!$M$7:$M$163,AQ$6),IF($A27="Sales VAT",SUM(AQ$8:AQ$12)*Inputs!$B$7/(1+Inputs!$B$7),IF(AND(AQ$6&gt;=$E27,AQ$6&lt;=$F27,Budget!$M17&gt;0),$D27/Budget!$M17,0)))</f>
        <v>0</v>
      </c>
      <c r="AR27" s="35">
        <f>IF(AR$5="Actual",SUMIFS(Outflows!$L$7:$L$163,Outflows!$H$7:$H$163,$A27,Outflows!$M$7:$M$163,AR$6),IF($A27="Sales VAT",SUM(AR$8:AR$12)*Inputs!$B$7/(1+Inputs!$B$7),IF(AND(AR$6&gt;=$E27,AR$6&lt;=$F27,Budget!$M17&gt;0),$D27/Budget!$M17,0)))</f>
        <v>0</v>
      </c>
      <c r="AS27" s="35">
        <f>IF(AS$5="Actual",SUMIFS(Outflows!$L$7:$L$163,Outflows!$H$7:$H$163,$A27,Outflows!$M$7:$M$163,AS$6),IF($A27="Sales VAT",SUM(AS$8:AS$12)*Inputs!$B$7/(1+Inputs!$B$7),IF(AND(AS$6&gt;=$E27,AS$6&lt;=$F27,Budget!$M17&gt;0),$D27/Budget!$M17,0)))</f>
        <v>0</v>
      </c>
      <c r="AT27" s="35">
        <f>IF(AT$5="Actual",SUMIFS(Outflows!$L$7:$L$163,Outflows!$H$7:$H$163,$A27,Outflows!$M$7:$M$163,AT$6),IF($A27="Sales VAT",SUM(AT$8:AT$12)*Inputs!$B$7/(1+Inputs!$B$7),IF(AND(AT$6&gt;=$E27,AT$6&lt;=$F27,Budget!$M17&gt;0),$D27/Budget!$M17,0)))</f>
        <v>0</v>
      </c>
      <c r="AU27" s="35">
        <f>IF(AU$5="Actual",SUMIFS(Outflows!$L$7:$L$163,Outflows!$H$7:$H$163,$A27,Outflows!$M$7:$M$163,AU$6),IF($A27="Sales VAT",SUM(AU$8:AU$12)*Inputs!$B$7/(1+Inputs!$B$7),IF(AND(AU$6&gt;=$E27,AU$6&lt;=$F27,Budget!$M17&gt;0),$D27/Budget!$M17,0)))</f>
        <v>0</v>
      </c>
      <c r="AV27" s="35">
        <f>IF(AV$5="Actual",SUMIFS(Outflows!$L$7:$L$163,Outflows!$H$7:$H$163,$A27,Outflows!$M$7:$M$163,AV$6),IF($A27="Sales VAT",SUM(AV$8:AV$12)*Inputs!$B$7/(1+Inputs!$B$7),IF(AND(AV$6&gt;=$E27,AV$6&lt;=$F27,Budget!$M17&gt;0),$D27/Budget!$M17,0)))</f>
        <v>0</v>
      </c>
      <c r="AW27" s="35">
        <f>IF(AW$5="Actual",SUMIFS(Outflows!$L$7:$L$163,Outflows!$H$7:$H$163,$A27,Outflows!$M$7:$M$163,AW$6),IF($A27="Sales VAT",SUM(AW$8:AW$12)*Inputs!$B$7/(1+Inputs!$B$7),IF(AND(AW$6&gt;=$E27,AW$6&lt;=$F27,Budget!$M17&gt;0),$D27/Budget!$M17,0)))</f>
        <v>0</v>
      </c>
      <c r="AX27" s="35">
        <f>IF(AX$5="Actual",SUMIFS(Outflows!$L$7:$L$163,Outflows!$H$7:$H$163,$A27,Outflows!$M$7:$M$163,AX$6),IF($A27="Sales VAT",SUM(AX$8:AX$12)*Inputs!$B$7/(1+Inputs!$B$7),IF(AND(AX$6&gt;=$E27,AX$6&lt;=$F27,Budget!$M17&gt;0),$D27/Budget!$M17,0)))</f>
        <v>0</v>
      </c>
      <c r="AY27" s="35">
        <f>IF(AY$5="Actual",SUMIFS(Outflows!$L$7:$L$163,Outflows!$H$7:$H$163,$A27,Outflows!$M$7:$M$163,AY$6),IF($A27="Sales VAT",SUM(AY$8:AY$12)*Inputs!$B$7/(1+Inputs!$B$7),IF(AND(AY$6&gt;=$E27,AY$6&lt;=$F27,Budget!$M17&gt;0),$D27/Budget!$M17,0)))</f>
        <v>0</v>
      </c>
      <c r="AZ27" s="35">
        <f>IF(AZ$5="Actual",SUMIFS(Outflows!$L$7:$L$163,Outflows!$H$7:$H$163,$A27,Outflows!$M$7:$M$163,AZ$6),IF($A27="Sales VAT",SUM(AZ$8:AZ$12)*Inputs!$B$7/(1+Inputs!$B$7),IF(AND(AZ$6&gt;=$E27,AZ$6&lt;=$F27,Budget!$M17&gt;0),$D27/Budget!$M17,0)))</f>
        <v>0</v>
      </c>
      <c r="BA27" s="35">
        <f>IF(BA$5="Actual",SUMIFS(Outflows!$L$7:$L$163,Outflows!$H$7:$H$163,$A27,Outflows!$M$7:$M$163,BA$6),IF($A27="Sales VAT",SUM(BA$8:BA$12)*Inputs!$B$7/(1+Inputs!$B$7),IF(AND(BA$6&gt;=$E27,BA$6&lt;=$F27,Budget!$M17&gt;0),$D27/Budget!$M17,0)))</f>
        <v>0</v>
      </c>
    </row>
    <row r="28" spans="1:53">
      <c r="A28" s="6" t="str">
        <f>Budget!C18</f>
        <v>MEP Consultant</v>
      </c>
      <c r="B28" s="35">
        <f>Budget!G18</f>
        <v>11322</v>
      </c>
      <c r="C28" s="35">
        <f>Budget!H18</f>
        <v>7826.58</v>
      </c>
      <c r="D28" s="35">
        <f>Budget!I18</f>
        <v>3495.42</v>
      </c>
      <c r="E28" s="61">
        <f>Budget!K18</f>
        <v>45292</v>
      </c>
      <c r="F28" s="61">
        <f>Budget!L18</f>
        <v>45627</v>
      </c>
      <c r="G28" s="35">
        <f>IF(G$5="Actual",SUMIFS(Outflows!$L$7:$L$163,Outflows!$H$7:$H$163,$A28,Outflows!$M$7:$M$163,G$6),IF($A28="Sales VAT",SUM(G$8:G$12)*Inputs!$B$7/(1+Inputs!$B$7),IF(AND(G$6&gt;=$E28,G$6&lt;=$F28,Budget!$M18&gt;0),$D28/Budget!$M18,0)))</f>
        <v>0</v>
      </c>
      <c r="H28" s="35">
        <f>IF(H$5="Actual",SUMIFS(Outflows!$L$7:$L$163,Outflows!$H$7:$H$163,$A28,Outflows!$M$7:$M$163,H$6),IF($A28="Sales VAT",SUM(H$8:H$12)*Inputs!$B$7/(1+Inputs!$B$7),IF(AND(H$6&gt;=$E28,H$6&lt;=$F28,Budget!$M18&gt;0),$D28/Budget!$M18,0)))</f>
        <v>0</v>
      </c>
      <c r="I28" s="35">
        <f>IF(I$5="Actual",SUMIFS(Outflows!$L$7:$L$163,Outflows!$H$7:$H$163,$A28,Outflows!$M$7:$M$163,I$6),IF($A28="Sales VAT",SUM(I$8:I$12)*Inputs!$B$7/(1+Inputs!$B$7),IF(AND(I$6&gt;=$E28,I$6&lt;=$F28,Budget!$M18&gt;0),$D28/Budget!$M18,0)))</f>
        <v>0</v>
      </c>
      <c r="J28" s="35">
        <f>IF(J$5="Actual",SUMIFS(Outflows!$L$7:$L$163,Outflows!$H$7:$H$163,$A28,Outflows!$M$7:$M$163,J$6),IF($A28="Sales VAT",SUM(J$8:J$12)*Inputs!$B$7/(1+Inputs!$B$7),IF(AND(J$6&gt;=$E28,J$6&lt;=$F28,Budget!$M18&gt;0),$D28/Budget!$M18,0)))</f>
        <v>0</v>
      </c>
      <c r="K28" s="35">
        <f>IF(K$5="Actual",SUMIFS(Outflows!$L$7:$L$163,Outflows!$H$7:$H$163,$A28,Outflows!$M$7:$M$163,K$6),IF($A28="Sales VAT",SUM(K$8:K$12)*Inputs!$B$7/(1+Inputs!$B$7),IF(AND(K$6&gt;=$E28,K$6&lt;=$F28,Budget!$M18&gt;0),$D28/Budget!$M18,0)))</f>
        <v>0</v>
      </c>
      <c r="L28" s="35">
        <f>IF(L$5="Actual",SUMIFS(Outflows!$L$7:$L$163,Outflows!$H$7:$H$163,$A28,Outflows!$M$7:$M$163,L$6),IF($A28="Sales VAT",SUM(L$8:L$12)*Inputs!$B$7/(1+Inputs!$B$7),IF(AND(L$6&gt;=$E28,L$6&lt;=$F28,Budget!$M18&gt;0),$D28/Budget!$M18,0)))</f>
        <v>0</v>
      </c>
      <c r="M28" s="35">
        <f>IF(M$5="Actual",SUMIFS(Outflows!$L$7:$L$163,Outflows!$H$7:$H$163,$A28,Outflows!$M$7:$M$163,M$6),IF($A28="Sales VAT",SUM(M$8:M$12)*Inputs!$B$7/(1+Inputs!$B$7),IF(AND(M$6&gt;=$E28,M$6&lt;=$F28,Budget!$M18&gt;0),$D28/Budget!$M18,0)))</f>
        <v>0</v>
      </c>
      <c r="N28" s="35">
        <f>IF(N$5="Actual",SUMIFS(Outflows!$L$7:$L$163,Outflows!$H$7:$H$163,$A28,Outflows!$M$7:$M$163,N$6),IF($A28="Sales VAT",SUM(N$8:N$12)*Inputs!$B$7/(1+Inputs!$B$7),IF(AND(N$6&gt;=$E28,N$6&lt;=$F28,Budget!$M18&gt;0),$D28/Budget!$M18,0)))</f>
        <v>0</v>
      </c>
      <c r="O28" s="35">
        <f>IF(O$5="Actual",SUMIFS(Outflows!$L$7:$L$163,Outflows!$H$7:$H$163,$A28,Outflows!$M$7:$M$163,O$6),IF($A28="Sales VAT",SUM(O$8:O$12)*Inputs!$B$7/(1+Inputs!$B$7),IF(AND(O$6&gt;=$E28,O$6&lt;=$F28,Budget!$M18&gt;0),$D28/Budget!$M18,0)))</f>
        <v>0</v>
      </c>
      <c r="P28" s="35">
        <f>IF(P$5="Actual",SUMIFS(Outflows!$L$7:$L$163,Outflows!$H$7:$H$163,$A28,Outflows!$M$7:$M$163,P$6),IF($A28="Sales VAT",SUM(P$8:P$12)*Inputs!$B$7/(1+Inputs!$B$7),IF(AND(P$6&gt;=$E28,P$6&lt;=$F28,Budget!$M18&gt;0),$D28/Budget!$M18,0)))</f>
        <v>0</v>
      </c>
      <c r="Q28" s="35">
        <f>IF(Q$5="Actual",SUMIFS(Outflows!$L$7:$L$163,Outflows!$H$7:$H$163,$A28,Outflows!$M$7:$M$163,Q$6),IF($A28="Sales VAT",SUM(Q$8:Q$12)*Inputs!$B$7/(1+Inputs!$B$7),IF(AND(Q$6&gt;=$E28,Q$6&lt;=$F28,Budget!$M18&gt;0),$D28/Budget!$M18,0)))</f>
        <v>0</v>
      </c>
      <c r="R28" s="35">
        <f>IF(R$5="Actual",SUMIFS(Outflows!$L$7:$L$163,Outflows!$H$7:$H$163,$A28,Outflows!$M$7:$M$163,R$6),IF($A28="Sales VAT",SUM(R$8:R$12)*Inputs!$B$7/(1+Inputs!$B$7),IF(AND(R$6&gt;=$E28,R$6&lt;=$F28,Budget!$M18&gt;0),$D28/Budget!$M18,0)))</f>
        <v>0</v>
      </c>
      <c r="S28" s="35">
        <f>IF(S$5="Actual",SUMIFS(Outflows!$L$7:$L$163,Outflows!$H$7:$H$163,$A28,Outflows!$M$7:$M$163,S$6),IF($A28="Sales VAT",SUM(S$8:S$12)*Inputs!$B$7/(1+Inputs!$B$7),IF(AND(S$6&gt;=$E28,S$6&lt;=$F28,Budget!$M18&gt;0),$D28/Budget!$M18,0)))</f>
        <v>0</v>
      </c>
      <c r="T28" s="35">
        <f>IF(T$5="Actual",SUMIFS(Outflows!$L$7:$L$163,Outflows!$H$7:$H$163,$A28,Outflows!$M$7:$M$163,T$6),IF($A28="Sales VAT",SUM(T$8:T$12)*Inputs!$B$7/(1+Inputs!$B$7),IF(AND(T$6&gt;=$E28,T$6&lt;=$F28,Budget!$M18&gt;0),$D28/Budget!$M18,0)))</f>
        <v>0</v>
      </c>
      <c r="U28" s="35">
        <f>IF(U$5="Actual",SUMIFS(Outflows!$L$7:$L$163,Outflows!$H$7:$H$163,$A28,Outflows!$M$7:$M$163,U$6),IF($A28="Sales VAT",SUM(U$8:U$12)*Inputs!$B$7/(1+Inputs!$B$7),IF(AND(U$6&gt;=$E28,U$6&lt;=$F28,Budget!$M18&gt;0),$D28/Budget!$M18,0)))</f>
        <v>2777.2766666666666</v>
      </c>
      <c r="V28" s="35">
        <f>IF(V$5="Actual",SUMIFS(Outflows!$L$7:$L$163,Outflows!$H$7:$H$163,$A28,Outflows!$M$7:$M$163,V$6),IF($A28="Sales VAT",SUM(V$8:V$12)*Inputs!$B$7/(1+Inputs!$B$7),IF(AND(V$6&gt;=$E28,V$6&lt;=$F28,Budget!$M18&gt;0),$D28/Budget!$M18,0)))</f>
        <v>0</v>
      </c>
      <c r="W28" s="35">
        <f>IF(W$5="Actual",SUMIFS(Outflows!$L$7:$L$163,Outflows!$H$7:$H$163,$A28,Outflows!$M$7:$M$163,W$6),IF($A28="Sales VAT",SUM(W$8:W$12)*Inputs!$B$7/(1+Inputs!$B$7),IF(AND(W$6&gt;=$E28,W$6&lt;=$F28,Budget!$M18&gt;0),$D28/Budget!$M18,0)))</f>
        <v>0</v>
      </c>
      <c r="X28" s="35">
        <f>IF(X$5="Actual",SUMIFS(Outflows!$L$7:$L$163,Outflows!$H$7:$H$163,$A28,Outflows!$M$7:$M$163,X$6),IF($A28="Sales VAT",SUM(X$8:X$12)*Inputs!$B$7/(1+Inputs!$B$7),IF(AND(X$6&gt;=$E28,X$6&lt;=$F28,Budget!$M18&gt;0),$D28/Budget!$M18,0)))</f>
        <v>0</v>
      </c>
      <c r="Y28" s="35">
        <f>IF(Y$5="Actual",SUMIFS(Outflows!$L$7:$L$163,Outflows!$H$7:$H$163,$A28,Outflows!$M$7:$M$163,Y$6),IF($A28="Sales VAT",SUM(Y$8:Y$12)*Inputs!$B$7/(1+Inputs!$B$7),IF(AND(Y$6&gt;=$E28,Y$6&lt;=$F28,Budget!$M18&gt;0),$D28/Budget!$M18,0)))</f>
        <v>0</v>
      </c>
      <c r="Z28" s="35">
        <f>IF(Z$5="Actual",SUMIFS(Outflows!$L$7:$L$163,Outflows!$H$7:$H$163,$A28,Outflows!$M$7:$M$163,Z$6),IF($A28="Sales VAT",SUM(Z$8:Z$12)*Inputs!$B$7/(1+Inputs!$B$7),IF(AND(Z$6&gt;=$E28,Z$6&lt;=$F28,Budget!$M18&gt;0),$D28/Budget!$M18,0)))</f>
        <v>0</v>
      </c>
      <c r="AA28" s="35">
        <f>IF(AA$5="Actual",SUMIFS(Outflows!$L$7:$L$163,Outflows!$H$7:$H$163,$A28,Outflows!$M$7:$M$163,AA$6),IF($A28="Sales VAT",SUM(AA$8:AA$12)*Inputs!$B$7/(1+Inputs!$B$7),IF(AND(AA$6&gt;=$E28,AA$6&lt;=$F28,Budget!$M18&gt;0),$D28/Budget!$M18,0)))</f>
        <v>5049.3033333333333</v>
      </c>
      <c r="AB28" s="35">
        <f>IF(AB$5="Actual",SUMIFS(Outflows!$L$7:$L$163,Outflows!$H$7:$H$163,$A28,Outflows!$M$7:$M$163,AB$6),IF($A28="Sales VAT",SUM(AB$8:AB$12)*Inputs!$B$7/(1+Inputs!$B$7),IF(AND(AB$6&gt;=$E28,AB$6&lt;=$F28,Budget!$M18&gt;0),$D28/Budget!$M18,0)))</f>
        <v>0</v>
      </c>
      <c r="AC28" s="35">
        <f>IF(AC$5="Actual",SUMIFS(Outflows!$L$7:$L$163,Outflows!$H$7:$H$163,$A28,Outflows!$M$7:$M$163,AC$6),IF($A28="Sales VAT",SUM(AC$8:AC$12)*Inputs!$B$7/(1+Inputs!$B$7),IF(AND(AC$6&gt;=$E28,AC$6&lt;=$F28,Budget!$M18&gt;0),$D28/Budget!$M18,0)))</f>
        <v>0</v>
      </c>
      <c r="AD28" s="35">
        <f>IF(AD$5="Actual",SUMIFS(Outflows!$L$7:$L$163,Outflows!$H$7:$H$163,$A28,Outflows!$M$7:$M$163,AD$6),IF($A28="Sales VAT",SUM(AD$8:AD$12)*Inputs!$B$7/(1+Inputs!$B$7),IF(AND(AD$6&gt;=$E28,AD$6&lt;=$F28,Budget!$M18&gt;0),$D28/Budget!$M18,0)))</f>
        <v>291.28500000000003</v>
      </c>
      <c r="AE28" s="35">
        <f>IF(AE$5="Actual",SUMIFS(Outflows!$L$7:$L$163,Outflows!$H$7:$H$163,$A28,Outflows!$M$7:$M$163,AE$6),IF($A28="Sales VAT",SUM(AE$8:AE$12)*Inputs!$B$7/(1+Inputs!$B$7),IF(AND(AE$6&gt;=$E28,AE$6&lt;=$F28,Budget!$M18&gt;0),$D28/Budget!$M18,0)))</f>
        <v>291.28500000000003</v>
      </c>
      <c r="AF28" s="35">
        <f>IF(AF$5="Actual",SUMIFS(Outflows!$L$7:$L$163,Outflows!$H$7:$H$163,$A28,Outflows!$M$7:$M$163,AF$6),IF($A28="Sales VAT",SUM(AF$8:AF$12)*Inputs!$B$7/(1+Inputs!$B$7),IF(AND(AF$6&gt;=$E28,AF$6&lt;=$F28,Budget!$M18&gt;0),$D28/Budget!$M18,0)))</f>
        <v>291.28500000000003</v>
      </c>
      <c r="AG28" s="35">
        <f>IF(AG$5="Actual",SUMIFS(Outflows!$L$7:$L$163,Outflows!$H$7:$H$163,$A28,Outflows!$M$7:$M$163,AG$6),IF($A28="Sales VAT",SUM(AG$8:AG$12)*Inputs!$B$7/(1+Inputs!$B$7),IF(AND(AG$6&gt;=$E28,AG$6&lt;=$F28,Budget!$M18&gt;0),$D28/Budget!$M18,0)))</f>
        <v>291.28500000000003</v>
      </c>
      <c r="AH28" s="35">
        <f>IF(AH$5="Actual",SUMIFS(Outflows!$L$7:$L$163,Outflows!$H$7:$H$163,$A28,Outflows!$M$7:$M$163,AH$6),IF($A28="Sales VAT",SUM(AH$8:AH$12)*Inputs!$B$7/(1+Inputs!$B$7),IF(AND(AH$6&gt;=$E28,AH$6&lt;=$F28,Budget!$M18&gt;0),$D28/Budget!$M18,0)))</f>
        <v>291.28500000000003</v>
      </c>
      <c r="AI28" s="35">
        <f>IF(AI$5="Actual",SUMIFS(Outflows!$L$7:$L$163,Outflows!$H$7:$H$163,$A28,Outflows!$M$7:$M$163,AI$6),IF($A28="Sales VAT",SUM(AI$8:AI$12)*Inputs!$B$7/(1+Inputs!$B$7),IF(AND(AI$6&gt;=$E28,AI$6&lt;=$F28,Budget!$M18&gt;0),$D28/Budget!$M18,0)))</f>
        <v>291.28500000000003</v>
      </c>
      <c r="AJ28" s="35">
        <f>IF(AJ$5="Actual",SUMIFS(Outflows!$L$7:$L$163,Outflows!$H$7:$H$163,$A28,Outflows!$M$7:$M$163,AJ$6),IF($A28="Sales VAT",SUM(AJ$8:AJ$12)*Inputs!$B$7/(1+Inputs!$B$7),IF(AND(AJ$6&gt;=$E28,AJ$6&lt;=$F28,Budget!$M18&gt;0),$D28/Budget!$M18,0)))</f>
        <v>291.28500000000003</v>
      </c>
      <c r="AK28" s="35">
        <f>IF(AK$5="Actual",SUMIFS(Outflows!$L$7:$L$163,Outflows!$H$7:$H$163,$A28,Outflows!$M$7:$M$163,AK$6),IF($A28="Sales VAT",SUM(AK$8:AK$12)*Inputs!$B$7/(1+Inputs!$B$7),IF(AND(AK$6&gt;=$E28,AK$6&lt;=$F28,Budget!$M18&gt;0),$D28/Budget!$M18,0)))</f>
        <v>291.28500000000003</v>
      </c>
      <c r="AL28" s="35">
        <f>IF(AL$5="Actual",SUMIFS(Outflows!$L$7:$L$163,Outflows!$H$7:$H$163,$A28,Outflows!$M$7:$M$163,AL$6),IF($A28="Sales VAT",SUM(AL$8:AL$12)*Inputs!$B$7/(1+Inputs!$B$7),IF(AND(AL$6&gt;=$E28,AL$6&lt;=$F28,Budget!$M18&gt;0),$D28/Budget!$M18,0)))</f>
        <v>291.28500000000003</v>
      </c>
      <c r="AM28" s="35">
        <f>IF(AM$5="Actual",SUMIFS(Outflows!$L$7:$L$163,Outflows!$H$7:$H$163,$A28,Outflows!$M$7:$M$163,AM$6),IF($A28="Sales VAT",SUM(AM$8:AM$12)*Inputs!$B$7/(1+Inputs!$B$7),IF(AND(AM$6&gt;=$E28,AM$6&lt;=$F28,Budget!$M18&gt;0),$D28/Budget!$M18,0)))</f>
        <v>291.28500000000003</v>
      </c>
      <c r="AN28" s="35">
        <f>IF(AN$5="Actual",SUMIFS(Outflows!$L$7:$L$163,Outflows!$H$7:$H$163,$A28,Outflows!$M$7:$M$163,AN$6),IF($A28="Sales VAT",SUM(AN$8:AN$12)*Inputs!$B$7/(1+Inputs!$B$7),IF(AND(AN$6&gt;=$E28,AN$6&lt;=$F28,Budget!$M18&gt;0),$D28/Budget!$M18,0)))</f>
        <v>291.28500000000003</v>
      </c>
      <c r="AO28" s="35">
        <f>IF(AO$5="Actual",SUMIFS(Outflows!$L$7:$L$163,Outflows!$H$7:$H$163,$A28,Outflows!$M$7:$M$163,AO$6),IF($A28="Sales VAT",SUM(AO$8:AO$12)*Inputs!$B$7/(1+Inputs!$B$7),IF(AND(AO$6&gt;=$E28,AO$6&lt;=$F28,Budget!$M18&gt;0),$D28/Budget!$M18,0)))</f>
        <v>291.28500000000003</v>
      </c>
      <c r="AP28" s="35">
        <f>IF(AP$5="Actual",SUMIFS(Outflows!$L$7:$L$163,Outflows!$H$7:$H$163,$A28,Outflows!$M$7:$M$163,AP$6),IF($A28="Sales VAT",SUM(AP$8:AP$12)*Inputs!$B$7/(1+Inputs!$B$7),IF(AND(AP$6&gt;=$E28,AP$6&lt;=$F28,Budget!$M18&gt;0),$D28/Budget!$M18,0)))</f>
        <v>0</v>
      </c>
      <c r="AQ28" s="35">
        <f>IF(AQ$5="Actual",SUMIFS(Outflows!$L$7:$L$163,Outflows!$H$7:$H$163,$A28,Outflows!$M$7:$M$163,AQ$6),IF($A28="Sales VAT",SUM(AQ$8:AQ$12)*Inputs!$B$7/(1+Inputs!$B$7),IF(AND(AQ$6&gt;=$E28,AQ$6&lt;=$F28,Budget!$M18&gt;0),$D28/Budget!$M18,0)))</f>
        <v>0</v>
      </c>
      <c r="AR28" s="35">
        <f>IF(AR$5="Actual",SUMIFS(Outflows!$L$7:$L$163,Outflows!$H$7:$H$163,$A28,Outflows!$M$7:$M$163,AR$6),IF($A28="Sales VAT",SUM(AR$8:AR$12)*Inputs!$B$7/(1+Inputs!$B$7),IF(AND(AR$6&gt;=$E28,AR$6&lt;=$F28,Budget!$M18&gt;0),$D28/Budget!$M18,0)))</f>
        <v>0</v>
      </c>
      <c r="AS28" s="35">
        <f>IF(AS$5="Actual",SUMIFS(Outflows!$L$7:$L$163,Outflows!$H$7:$H$163,$A28,Outflows!$M$7:$M$163,AS$6),IF($A28="Sales VAT",SUM(AS$8:AS$12)*Inputs!$B$7/(1+Inputs!$B$7),IF(AND(AS$6&gt;=$E28,AS$6&lt;=$F28,Budget!$M18&gt;0),$D28/Budget!$M18,0)))</f>
        <v>0</v>
      </c>
      <c r="AT28" s="35">
        <f>IF(AT$5="Actual",SUMIFS(Outflows!$L$7:$L$163,Outflows!$H$7:$H$163,$A28,Outflows!$M$7:$M$163,AT$6),IF($A28="Sales VAT",SUM(AT$8:AT$12)*Inputs!$B$7/(1+Inputs!$B$7),IF(AND(AT$6&gt;=$E28,AT$6&lt;=$F28,Budget!$M18&gt;0),$D28/Budget!$M18,0)))</f>
        <v>0</v>
      </c>
      <c r="AU28" s="35">
        <f>IF(AU$5="Actual",SUMIFS(Outflows!$L$7:$L$163,Outflows!$H$7:$H$163,$A28,Outflows!$M$7:$M$163,AU$6),IF($A28="Sales VAT",SUM(AU$8:AU$12)*Inputs!$B$7/(1+Inputs!$B$7),IF(AND(AU$6&gt;=$E28,AU$6&lt;=$F28,Budget!$M18&gt;0),$D28/Budget!$M18,0)))</f>
        <v>0</v>
      </c>
      <c r="AV28" s="35">
        <f>IF(AV$5="Actual",SUMIFS(Outflows!$L$7:$L$163,Outflows!$H$7:$H$163,$A28,Outflows!$M$7:$M$163,AV$6),IF($A28="Sales VAT",SUM(AV$8:AV$12)*Inputs!$B$7/(1+Inputs!$B$7),IF(AND(AV$6&gt;=$E28,AV$6&lt;=$F28,Budget!$M18&gt;0),$D28/Budget!$M18,0)))</f>
        <v>0</v>
      </c>
      <c r="AW28" s="35">
        <f>IF(AW$5="Actual",SUMIFS(Outflows!$L$7:$L$163,Outflows!$H$7:$H$163,$A28,Outflows!$M$7:$M$163,AW$6),IF($A28="Sales VAT",SUM(AW$8:AW$12)*Inputs!$B$7/(1+Inputs!$B$7),IF(AND(AW$6&gt;=$E28,AW$6&lt;=$F28,Budget!$M18&gt;0),$D28/Budget!$M18,0)))</f>
        <v>0</v>
      </c>
      <c r="AX28" s="35">
        <f>IF(AX$5="Actual",SUMIFS(Outflows!$L$7:$L$163,Outflows!$H$7:$H$163,$A28,Outflows!$M$7:$M$163,AX$6),IF($A28="Sales VAT",SUM(AX$8:AX$12)*Inputs!$B$7/(1+Inputs!$B$7),IF(AND(AX$6&gt;=$E28,AX$6&lt;=$F28,Budget!$M18&gt;0),$D28/Budget!$M18,0)))</f>
        <v>0</v>
      </c>
      <c r="AY28" s="35">
        <f>IF(AY$5="Actual",SUMIFS(Outflows!$L$7:$L$163,Outflows!$H$7:$H$163,$A28,Outflows!$M$7:$M$163,AY$6),IF($A28="Sales VAT",SUM(AY$8:AY$12)*Inputs!$B$7/(1+Inputs!$B$7),IF(AND(AY$6&gt;=$E28,AY$6&lt;=$F28,Budget!$M18&gt;0),$D28/Budget!$M18,0)))</f>
        <v>0</v>
      </c>
      <c r="AZ28" s="35">
        <f>IF(AZ$5="Actual",SUMIFS(Outflows!$L$7:$L$163,Outflows!$H$7:$H$163,$A28,Outflows!$M$7:$M$163,AZ$6),IF($A28="Sales VAT",SUM(AZ$8:AZ$12)*Inputs!$B$7/(1+Inputs!$B$7),IF(AND(AZ$6&gt;=$E28,AZ$6&lt;=$F28,Budget!$M18&gt;0),$D28/Budget!$M18,0)))</f>
        <v>0</v>
      </c>
      <c r="BA28" s="35">
        <f>IF(BA$5="Actual",SUMIFS(Outflows!$L$7:$L$163,Outflows!$H$7:$H$163,$A28,Outflows!$M$7:$M$163,BA$6),IF($A28="Sales VAT",SUM(BA$8:BA$12)*Inputs!$B$7/(1+Inputs!$B$7),IF(AND(BA$6&gt;=$E28,BA$6&lt;=$F28,Budget!$M18&gt;0),$D28/Budget!$M18,0)))</f>
        <v>0</v>
      </c>
    </row>
    <row r="29" spans="1:53">
      <c r="A29" s="6" t="str">
        <f>Budget!C19</f>
        <v>Quantity Surveyor</v>
      </c>
      <c r="B29" s="35">
        <f>Budget!G19</f>
        <v>97063.357999999993</v>
      </c>
      <c r="C29" s="35">
        <f>Budget!H19</f>
        <v>14851.697666666663</v>
      </c>
      <c r="D29" s="35">
        <f>Budget!I19</f>
        <v>82211.660333333333</v>
      </c>
      <c r="E29" s="61">
        <f>Budget!K19</f>
        <v>45292</v>
      </c>
      <c r="F29" s="61">
        <f>Budget!L19</f>
        <v>45839</v>
      </c>
      <c r="G29" s="35">
        <f>IF(G$5="Actual",SUMIFS(Outflows!$L$7:$L$163,Outflows!$H$7:$H$163,$A29,Outflows!$M$7:$M$163,G$6),IF($A29="Sales VAT",SUM(G$8:G$12)*Inputs!$B$7/(1+Inputs!$B$7),IF(AND(G$6&gt;=$E29,G$6&lt;=$F29,Budget!$M19&gt;0),$D29/Budget!$M19,0)))</f>
        <v>0</v>
      </c>
      <c r="H29" s="35">
        <f>IF(H$5="Actual",SUMIFS(Outflows!$L$7:$L$163,Outflows!$H$7:$H$163,$A29,Outflows!$M$7:$M$163,H$6),IF($A29="Sales VAT",SUM(H$8:H$12)*Inputs!$B$7/(1+Inputs!$B$7),IF(AND(H$6&gt;=$E29,H$6&lt;=$F29,Budget!$M19&gt;0),$D29/Budget!$M19,0)))</f>
        <v>0</v>
      </c>
      <c r="I29" s="35">
        <f>IF(I$5="Actual",SUMIFS(Outflows!$L$7:$L$163,Outflows!$H$7:$H$163,$A29,Outflows!$M$7:$M$163,I$6),IF($A29="Sales VAT",SUM(I$8:I$12)*Inputs!$B$7/(1+Inputs!$B$7),IF(AND(I$6&gt;=$E29,I$6&lt;=$F29,Budget!$M19&gt;0),$D29/Budget!$M19,0)))</f>
        <v>0</v>
      </c>
      <c r="J29" s="35">
        <f>IF(J$5="Actual",SUMIFS(Outflows!$L$7:$L$163,Outflows!$H$7:$H$163,$A29,Outflows!$M$7:$M$163,J$6),IF($A29="Sales VAT",SUM(J$8:J$12)*Inputs!$B$7/(1+Inputs!$B$7),IF(AND(J$6&gt;=$E29,J$6&lt;=$F29,Budget!$M19&gt;0),$D29/Budget!$M19,0)))</f>
        <v>0</v>
      </c>
      <c r="K29" s="35">
        <f>IF(K$5="Actual",SUMIFS(Outflows!$L$7:$L$163,Outflows!$H$7:$H$163,$A29,Outflows!$M$7:$M$163,K$6),IF($A29="Sales VAT",SUM(K$8:K$12)*Inputs!$B$7/(1+Inputs!$B$7),IF(AND(K$6&gt;=$E29,K$6&lt;=$F29,Budget!$M19&gt;0),$D29/Budget!$M19,0)))</f>
        <v>0</v>
      </c>
      <c r="L29" s="35">
        <f>IF(L$5="Actual",SUMIFS(Outflows!$L$7:$L$163,Outflows!$H$7:$H$163,$A29,Outflows!$M$7:$M$163,L$6),IF($A29="Sales VAT",SUM(L$8:L$12)*Inputs!$B$7/(1+Inputs!$B$7),IF(AND(L$6&gt;=$E29,L$6&lt;=$F29,Budget!$M19&gt;0),$D29/Budget!$M19,0)))</f>
        <v>0</v>
      </c>
      <c r="M29" s="35">
        <f>IF(M$5="Actual",SUMIFS(Outflows!$L$7:$L$163,Outflows!$H$7:$H$163,$A29,Outflows!$M$7:$M$163,M$6),IF($A29="Sales VAT",SUM(M$8:M$12)*Inputs!$B$7/(1+Inputs!$B$7),IF(AND(M$6&gt;=$E29,M$6&lt;=$F29,Budget!$M19&gt;0),$D29/Budget!$M19,0)))</f>
        <v>0</v>
      </c>
      <c r="N29" s="35">
        <f>IF(N$5="Actual",SUMIFS(Outflows!$L$7:$L$163,Outflows!$H$7:$H$163,$A29,Outflows!$M$7:$M$163,N$6),IF($A29="Sales VAT",SUM(N$8:N$12)*Inputs!$B$7/(1+Inputs!$B$7),IF(AND(N$6&gt;=$E29,N$6&lt;=$F29,Budget!$M19&gt;0),$D29/Budget!$M19,0)))</f>
        <v>0</v>
      </c>
      <c r="O29" s="35">
        <f>IF(O$5="Actual",SUMIFS(Outflows!$L$7:$L$163,Outflows!$H$7:$H$163,$A29,Outflows!$M$7:$M$163,O$6),IF($A29="Sales VAT",SUM(O$8:O$12)*Inputs!$B$7/(1+Inputs!$B$7),IF(AND(O$6&gt;=$E29,O$6&lt;=$F29,Budget!$M19&gt;0),$D29/Budget!$M19,0)))</f>
        <v>0</v>
      </c>
      <c r="P29" s="35">
        <f>IF(P$5="Actual",SUMIFS(Outflows!$L$7:$L$163,Outflows!$H$7:$H$163,$A29,Outflows!$M$7:$M$163,P$6),IF($A29="Sales VAT",SUM(P$8:P$12)*Inputs!$B$7/(1+Inputs!$B$7),IF(AND(P$6&gt;=$E29,P$6&lt;=$F29,Budget!$M19&gt;0),$D29/Budget!$M19,0)))</f>
        <v>0</v>
      </c>
      <c r="Q29" s="35">
        <f>IF(Q$5="Actual",SUMIFS(Outflows!$L$7:$L$163,Outflows!$H$7:$H$163,$A29,Outflows!$M$7:$M$163,Q$6),IF($A29="Sales VAT",SUM(Q$8:Q$12)*Inputs!$B$7/(1+Inputs!$B$7),IF(AND(Q$6&gt;=$E29,Q$6&lt;=$F29,Budget!$M19&gt;0),$D29/Budget!$M19,0)))</f>
        <v>0</v>
      </c>
      <c r="R29" s="35">
        <f>IF(R$5="Actual",SUMIFS(Outflows!$L$7:$L$163,Outflows!$H$7:$H$163,$A29,Outflows!$M$7:$M$163,R$6),IF($A29="Sales VAT",SUM(R$8:R$12)*Inputs!$B$7/(1+Inputs!$B$7),IF(AND(R$6&gt;=$E29,R$6&lt;=$F29,Budget!$M19&gt;0),$D29/Budget!$M19,0)))</f>
        <v>0</v>
      </c>
      <c r="S29" s="35">
        <f>IF(S$5="Actual",SUMIFS(Outflows!$L$7:$L$163,Outflows!$H$7:$H$163,$A29,Outflows!$M$7:$M$163,S$6),IF($A29="Sales VAT",SUM(S$8:S$12)*Inputs!$B$7/(1+Inputs!$B$7),IF(AND(S$6&gt;=$E29,S$6&lt;=$F29,Budget!$M19&gt;0),$D29/Budget!$M19,0)))</f>
        <v>0</v>
      </c>
      <c r="T29" s="35">
        <f>IF(T$5="Actual",SUMIFS(Outflows!$L$7:$L$163,Outflows!$H$7:$H$163,$A29,Outflows!$M$7:$M$163,T$6),IF($A29="Sales VAT",SUM(T$8:T$12)*Inputs!$B$7/(1+Inputs!$B$7),IF(AND(T$6&gt;=$E29,T$6&lt;=$F29,Budget!$M19&gt;0),$D29/Budget!$M19,0)))</f>
        <v>0</v>
      </c>
      <c r="U29" s="35">
        <f>IF(U$5="Actual",SUMIFS(Outflows!$L$7:$L$163,Outflows!$H$7:$H$163,$A29,Outflows!$M$7:$M$163,U$6),IF($A29="Sales VAT",SUM(U$8:U$12)*Inputs!$B$7/(1+Inputs!$B$7),IF(AND(U$6&gt;=$E29,U$6&lt;=$F29,Budget!$M19&gt;0),$D29/Budget!$M19,0)))</f>
        <v>0</v>
      </c>
      <c r="V29" s="35">
        <f>IF(V$5="Actual",SUMIFS(Outflows!$L$7:$L$163,Outflows!$H$7:$H$163,$A29,Outflows!$M$7:$M$163,V$6),IF($A29="Sales VAT",SUM(V$8:V$12)*Inputs!$B$7/(1+Inputs!$B$7),IF(AND(V$6&gt;=$E29,V$6&lt;=$F29,Budget!$M19&gt;0),$D29/Budget!$M19,0)))</f>
        <v>0</v>
      </c>
      <c r="W29" s="35">
        <f>IF(W$5="Actual",SUMIFS(Outflows!$L$7:$L$163,Outflows!$H$7:$H$163,$A29,Outflows!$M$7:$M$163,W$6),IF($A29="Sales VAT",SUM(W$8:W$12)*Inputs!$B$7/(1+Inputs!$B$7),IF(AND(W$6&gt;=$E29,W$6&lt;=$F29,Budget!$M19&gt;0),$D29/Budget!$M19,0)))</f>
        <v>0</v>
      </c>
      <c r="X29" s="35">
        <f>IF(X$5="Actual",SUMIFS(Outflows!$L$7:$L$163,Outflows!$H$7:$H$163,$A29,Outflows!$M$7:$M$163,X$6),IF($A29="Sales VAT",SUM(X$8:X$12)*Inputs!$B$7/(1+Inputs!$B$7),IF(AND(X$6&gt;=$E29,X$6&lt;=$F29,Budget!$M19&gt;0),$D29/Budget!$M19,0)))</f>
        <v>12701.310999999998</v>
      </c>
      <c r="Y29" s="35">
        <f>IF(Y$5="Actual",SUMIFS(Outflows!$L$7:$L$163,Outflows!$H$7:$H$163,$A29,Outflows!$M$7:$M$163,Y$6),IF($A29="Sales VAT",SUM(Y$8:Y$12)*Inputs!$B$7/(1+Inputs!$B$7),IF(AND(Y$6&gt;=$E29,Y$6&lt;=$F29,Budget!$M19&gt;0),$D29/Budget!$M19,0)))</f>
        <v>0</v>
      </c>
      <c r="Z29" s="35">
        <f>IF(Z$5="Actual",SUMIFS(Outflows!$L$7:$L$163,Outflows!$H$7:$H$163,$A29,Outflows!$M$7:$M$163,Z$6),IF($A29="Sales VAT",SUM(Z$8:Z$12)*Inputs!$B$7/(1+Inputs!$B$7),IF(AND(Z$6&gt;=$E29,Z$6&lt;=$F29,Budget!$M19&gt;0),$D29/Budget!$M19,0)))</f>
        <v>0</v>
      </c>
      <c r="AA29" s="35">
        <f>IF(AA$5="Actual",SUMIFS(Outflows!$L$7:$L$163,Outflows!$H$7:$H$163,$A29,Outflows!$M$7:$M$163,AA$6),IF($A29="Sales VAT",SUM(AA$8:AA$12)*Inputs!$B$7/(1+Inputs!$B$7),IF(AND(AA$6&gt;=$E29,AA$6&lt;=$F29,Budget!$M19&gt;0),$D29/Budget!$M19,0)))</f>
        <v>0</v>
      </c>
      <c r="AB29" s="35">
        <f>IF(AB$5="Actual",SUMIFS(Outflows!$L$7:$L$163,Outflows!$H$7:$H$163,$A29,Outflows!$M$7:$M$163,AB$6),IF($A29="Sales VAT",SUM(AB$8:AB$12)*Inputs!$B$7/(1+Inputs!$B$7),IF(AND(AB$6&gt;=$E29,AB$6&lt;=$F29,Budget!$M19&gt;0),$D29/Budget!$M19,0)))</f>
        <v>2150.3866666666663</v>
      </c>
      <c r="AC29" s="35">
        <f>IF(AC$5="Actual",SUMIFS(Outflows!$L$7:$L$163,Outflows!$H$7:$H$163,$A29,Outflows!$M$7:$M$163,AC$6),IF($A29="Sales VAT",SUM(AC$8:AC$12)*Inputs!$B$7/(1+Inputs!$B$7),IF(AND(AC$6&gt;=$E29,AC$6&lt;=$F29,Budget!$M19&gt;0),$D29/Budget!$M19,0)))</f>
        <v>0</v>
      </c>
      <c r="AD29" s="35">
        <f>IF(AD$5="Actual",SUMIFS(Outflows!$L$7:$L$163,Outflows!$H$7:$H$163,$A29,Outflows!$M$7:$M$163,AD$6),IF($A29="Sales VAT",SUM(AD$8:AD$12)*Inputs!$B$7/(1+Inputs!$B$7),IF(AND(AD$6&gt;=$E29,AD$6&lt;=$F29,Budget!$M19&gt;0),$D29/Budget!$M19,0)))</f>
        <v>4326.9294912280702</v>
      </c>
      <c r="AE29" s="35">
        <f>IF(AE$5="Actual",SUMIFS(Outflows!$L$7:$L$163,Outflows!$H$7:$H$163,$A29,Outflows!$M$7:$M$163,AE$6),IF($A29="Sales VAT",SUM(AE$8:AE$12)*Inputs!$B$7/(1+Inputs!$B$7),IF(AND(AE$6&gt;=$E29,AE$6&lt;=$F29,Budget!$M19&gt;0),$D29/Budget!$M19,0)))</f>
        <v>4326.9294912280702</v>
      </c>
      <c r="AF29" s="35">
        <f>IF(AF$5="Actual",SUMIFS(Outflows!$L$7:$L$163,Outflows!$H$7:$H$163,$A29,Outflows!$M$7:$M$163,AF$6),IF($A29="Sales VAT",SUM(AF$8:AF$12)*Inputs!$B$7/(1+Inputs!$B$7),IF(AND(AF$6&gt;=$E29,AF$6&lt;=$F29,Budget!$M19&gt;0),$D29/Budget!$M19,0)))</f>
        <v>4326.9294912280702</v>
      </c>
      <c r="AG29" s="35">
        <f>IF(AG$5="Actual",SUMIFS(Outflows!$L$7:$L$163,Outflows!$H$7:$H$163,$A29,Outflows!$M$7:$M$163,AG$6),IF($A29="Sales VAT",SUM(AG$8:AG$12)*Inputs!$B$7/(1+Inputs!$B$7),IF(AND(AG$6&gt;=$E29,AG$6&lt;=$F29,Budget!$M19&gt;0),$D29/Budget!$M19,0)))</f>
        <v>4326.9294912280702</v>
      </c>
      <c r="AH29" s="35">
        <f>IF(AH$5="Actual",SUMIFS(Outflows!$L$7:$L$163,Outflows!$H$7:$H$163,$A29,Outflows!$M$7:$M$163,AH$6),IF($A29="Sales VAT",SUM(AH$8:AH$12)*Inputs!$B$7/(1+Inputs!$B$7),IF(AND(AH$6&gt;=$E29,AH$6&lt;=$F29,Budget!$M19&gt;0),$D29/Budget!$M19,0)))</f>
        <v>4326.9294912280702</v>
      </c>
      <c r="AI29" s="35">
        <f>IF(AI$5="Actual",SUMIFS(Outflows!$L$7:$L$163,Outflows!$H$7:$H$163,$A29,Outflows!$M$7:$M$163,AI$6),IF($A29="Sales VAT",SUM(AI$8:AI$12)*Inputs!$B$7/(1+Inputs!$B$7),IF(AND(AI$6&gt;=$E29,AI$6&lt;=$F29,Budget!$M19&gt;0),$D29/Budget!$M19,0)))</f>
        <v>4326.9294912280702</v>
      </c>
      <c r="AJ29" s="35">
        <f>IF(AJ$5="Actual",SUMIFS(Outflows!$L$7:$L$163,Outflows!$H$7:$H$163,$A29,Outflows!$M$7:$M$163,AJ$6),IF($A29="Sales VAT",SUM(AJ$8:AJ$12)*Inputs!$B$7/(1+Inputs!$B$7),IF(AND(AJ$6&gt;=$E29,AJ$6&lt;=$F29,Budget!$M19&gt;0),$D29/Budget!$M19,0)))</f>
        <v>4326.9294912280702</v>
      </c>
      <c r="AK29" s="35">
        <f>IF(AK$5="Actual",SUMIFS(Outflows!$L$7:$L$163,Outflows!$H$7:$H$163,$A29,Outflows!$M$7:$M$163,AK$6),IF($A29="Sales VAT",SUM(AK$8:AK$12)*Inputs!$B$7/(1+Inputs!$B$7),IF(AND(AK$6&gt;=$E29,AK$6&lt;=$F29,Budget!$M19&gt;0),$D29/Budget!$M19,0)))</f>
        <v>4326.9294912280702</v>
      </c>
      <c r="AL29" s="35">
        <f>IF(AL$5="Actual",SUMIFS(Outflows!$L$7:$L$163,Outflows!$H$7:$H$163,$A29,Outflows!$M$7:$M$163,AL$6),IF($A29="Sales VAT",SUM(AL$8:AL$12)*Inputs!$B$7/(1+Inputs!$B$7),IF(AND(AL$6&gt;=$E29,AL$6&lt;=$F29,Budget!$M19&gt;0),$D29/Budget!$M19,0)))</f>
        <v>4326.9294912280702</v>
      </c>
      <c r="AM29" s="35">
        <f>IF(AM$5="Actual",SUMIFS(Outflows!$L$7:$L$163,Outflows!$H$7:$H$163,$A29,Outflows!$M$7:$M$163,AM$6),IF($A29="Sales VAT",SUM(AM$8:AM$12)*Inputs!$B$7/(1+Inputs!$B$7),IF(AND(AM$6&gt;=$E29,AM$6&lt;=$F29,Budget!$M19&gt;0),$D29/Budget!$M19,0)))</f>
        <v>4326.9294912280702</v>
      </c>
      <c r="AN29" s="35">
        <f>IF(AN$5="Actual",SUMIFS(Outflows!$L$7:$L$163,Outflows!$H$7:$H$163,$A29,Outflows!$M$7:$M$163,AN$6),IF($A29="Sales VAT",SUM(AN$8:AN$12)*Inputs!$B$7/(1+Inputs!$B$7),IF(AND(AN$6&gt;=$E29,AN$6&lt;=$F29,Budget!$M19&gt;0),$D29/Budget!$M19,0)))</f>
        <v>4326.9294912280702</v>
      </c>
      <c r="AO29" s="35">
        <f>IF(AO$5="Actual",SUMIFS(Outflows!$L$7:$L$163,Outflows!$H$7:$H$163,$A29,Outflows!$M$7:$M$163,AO$6),IF($A29="Sales VAT",SUM(AO$8:AO$12)*Inputs!$B$7/(1+Inputs!$B$7),IF(AND(AO$6&gt;=$E29,AO$6&lt;=$F29,Budget!$M19&gt;0),$D29/Budget!$M19,0)))</f>
        <v>4326.9294912280702</v>
      </c>
      <c r="AP29" s="35">
        <f>IF(AP$5="Actual",SUMIFS(Outflows!$L$7:$L$163,Outflows!$H$7:$H$163,$A29,Outflows!$M$7:$M$163,AP$6),IF($A29="Sales VAT",SUM(AP$8:AP$12)*Inputs!$B$7/(1+Inputs!$B$7),IF(AND(AP$6&gt;=$E29,AP$6&lt;=$F29,Budget!$M19&gt;0),$D29/Budget!$M19,0)))</f>
        <v>4326.9294912280702</v>
      </c>
      <c r="AQ29" s="35">
        <f>IF(AQ$5="Actual",SUMIFS(Outflows!$L$7:$L$163,Outflows!$H$7:$H$163,$A29,Outflows!$M$7:$M$163,AQ$6),IF($A29="Sales VAT",SUM(AQ$8:AQ$12)*Inputs!$B$7/(1+Inputs!$B$7),IF(AND(AQ$6&gt;=$E29,AQ$6&lt;=$F29,Budget!$M19&gt;0),$D29/Budget!$M19,0)))</f>
        <v>4326.9294912280702</v>
      </c>
      <c r="AR29" s="35">
        <f>IF(AR$5="Actual",SUMIFS(Outflows!$L$7:$L$163,Outflows!$H$7:$H$163,$A29,Outflows!$M$7:$M$163,AR$6),IF($A29="Sales VAT",SUM(AR$8:AR$12)*Inputs!$B$7/(1+Inputs!$B$7),IF(AND(AR$6&gt;=$E29,AR$6&lt;=$F29,Budget!$M19&gt;0),$D29/Budget!$M19,0)))</f>
        <v>4326.9294912280702</v>
      </c>
      <c r="AS29" s="35">
        <f>IF(AS$5="Actual",SUMIFS(Outflows!$L$7:$L$163,Outflows!$H$7:$H$163,$A29,Outflows!$M$7:$M$163,AS$6),IF($A29="Sales VAT",SUM(AS$8:AS$12)*Inputs!$B$7/(1+Inputs!$B$7),IF(AND(AS$6&gt;=$E29,AS$6&lt;=$F29,Budget!$M19&gt;0),$D29/Budget!$M19,0)))</f>
        <v>4326.9294912280702</v>
      </c>
      <c r="AT29" s="35">
        <f>IF(AT$5="Actual",SUMIFS(Outflows!$L$7:$L$163,Outflows!$H$7:$H$163,$A29,Outflows!$M$7:$M$163,AT$6),IF($A29="Sales VAT",SUM(AT$8:AT$12)*Inputs!$B$7/(1+Inputs!$B$7),IF(AND(AT$6&gt;=$E29,AT$6&lt;=$F29,Budget!$M19&gt;0),$D29/Budget!$M19,0)))</f>
        <v>4326.9294912280702</v>
      </c>
      <c r="AU29" s="35">
        <f>IF(AU$5="Actual",SUMIFS(Outflows!$L$7:$L$163,Outflows!$H$7:$H$163,$A29,Outflows!$M$7:$M$163,AU$6),IF($A29="Sales VAT",SUM(AU$8:AU$12)*Inputs!$B$7/(1+Inputs!$B$7),IF(AND(AU$6&gt;=$E29,AU$6&lt;=$F29,Budget!$M19&gt;0),$D29/Budget!$M19,0)))</f>
        <v>4326.9294912280702</v>
      </c>
      <c r="AV29" s="35">
        <f>IF(AV$5="Actual",SUMIFS(Outflows!$L$7:$L$163,Outflows!$H$7:$H$163,$A29,Outflows!$M$7:$M$163,AV$6),IF($A29="Sales VAT",SUM(AV$8:AV$12)*Inputs!$B$7/(1+Inputs!$B$7),IF(AND(AV$6&gt;=$E29,AV$6&lt;=$F29,Budget!$M19&gt;0),$D29/Budget!$M19,0)))</f>
        <v>4326.9294912280702</v>
      </c>
      <c r="AW29" s="35">
        <f>IF(AW$5="Actual",SUMIFS(Outflows!$L$7:$L$163,Outflows!$H$7:$H$163,$A29,Outflows!$M$7:$M$163,AW$6),IF($A29="Sales VAT",SUM(AW$8:AW$12)*Inputs!$B$7/(1+Inputs!$B$7),IF(AND(AW$6&gt;=$E29,AW$6&lt;=$F29,Budget!$M19&gt;0),$D29/Budget!$M19,0)))</f>
        <v>0</v>
      </c>
      <c r="AX29" s="35">
        <f>IF(AX$5="Actual",SUMIFS(Outflows!$L$7:$L$163,Outflows!$H$7:$H$163,$A29,Outflows!$M$7:$M$163,AX$6),IF($A29="Sales VAT",SUM(AX$8:AX$12)*Inputs!$B$7/(1+Inputs!$B$7),IF(AND(AX$6&gt;=$E29,AX$6&lt;=$F29,Budget!$M19&gt;0),$D29/Budget!$M19,0)))</f>
        <v>0</v>
      </c>
      <c r="AY29" s="35">
        <f>IF(AY$5="Actual",SUMIFS(Outflows!$L$7:$L$163,Outflows!$H$7:$H$163,$A29,Outflows!$M$7:$M$163,AY$6),IF($A29="Sales VAT",SUM(AY$8:AY$12)*Inputs!$B$7/(1+Inputs!$B$7),IF(AND(AY$6&gt;=$E29,AY$6&lt;=$F29,Budget!$M19&gt;0),$D29/Budget!$M19,0)))</f>
        <v>0</v>
      </c>
      <c r="AZ29" s="35">
        <f>IF(AZ$5="Actual",SUMIFS(Outflows!$L$7:$L$163,Outflows!$H$7:$H$163,$A29,Outflows!$M$7:$M$163,AZ$6),IF($A29="Sales VAT",SUM(AZ$8:AZ$12)*Inputs!$B$7/(1+Inputs!$B$7),IF(AND(AZ$6&gt;=$E29,AZ$6&lt;=$F29,Budget!$M19&gt;0),$D29/Budget!$M19,0)))</f>
        <v>0</v>
      </c>
      <c r="BA29" s="35">
        <f>IF(BA$5="Actual",SUMIFS(Outflows!$L$7:$L$163,Outflows!$H$7:$H$163,$A29,Outflows!$M$7:$M$163,BA$6),IF($A29="Sales VAT",SUM(BA$8:BA$12)*Inputs!$B$7/(1+Inputs!$B$7),IF(AND(BA$6&gt;=$E29,BA$6&lt;=$F29,Budget!$M19&gt;0),$D29/Budget!$M19,0)))</f>
        <v>0</v>
      </c>
    </row>
    <row r="30" spans="1:53">
      <c r="A30" s="6" t="str">
        <f>Budget!C20</f>
        <v>Notary</v>
      </c>
      <c r="B30" s="35">
        <f>Budget!G20</f>
        <v>124792.416667</v>
      </c>
      <c r="C30" s="35">
        <f>Budget!H20</f>
        <v>29504.062643694189</v>
      </c>
      <c r="D30" s="35">
        <f>Budget!I20</f>
        <v>95288.354023305816</v>
      </c>
      <c r="E30" s="61">
        <f>Budget!K20</f>
        <v>45292</v>
      </c>
      <c r="F30" s="61">
        <f>Budget!L20</f>
        <v>45627</v>
      </c>
      <c r="G30" s="35">
        <f>IF(G$5="Actual",SUMIFS(Outflows!$L$7:$L$163,Outflows!$H$7:$H$163,$A30,Outflows!$M$7:$M$163,G$6),IF($A30="Sales VAT",SUM(G$8:G$12)*Inputs!$B$7/(1+Inputs!$B$7),IF(AND(G$6&gt;=$E30,G$6&lt;=$F30,Budget!$M20&gt;0),$D30/Budget!$M20,0)))</f>
        <v>0</v>
      </c>
      <c r="H30" s="35">
        <f>IF(H$5="Actual",SUMIFS(Outflows!$L$7:$L$163,Outflows!$H$7:$H$163,$A30,Outflows!$M$7:$M$163,H$6),IF($A30="Sales VAT",SUM(H$8:H$12)*Inputs!$B$7/(1+Inputs!$B$7),IF(AND(H$6&gt;=$E30,H$6&lt;=$F30,Budget!$M20&gt;0),$D30/Budget!$M20,0)))</f>
        <v>0</v>
      </c>
      <c r="I30" s="35">
        <f>IF(I$5="Actual",SUMIFS(Outflows!$L$7:$L$163,Outflows!$H$7:$H$163,$A30,Outflows!$M$7:$M$163,I$6),IF($A30="Sales VAT",SUM(I$8:I$12)*Inputs!$B$7/(1+Inputs!$B$7),IF(AND(I$6&gt;=$E30,I$6&lt;=$F30,Budget!$M20&gt;0),$D30/Budget!$M20,0)))</f>
        <v>0</v>
      </c>
      <c r="J30" s="35">
        <f>IF(J$5="Actual",SUMIFS(Outflows!$L$7:$L$163,Outflows!$H$7:$H$163,$A30,Outflows!$M$7:$M$163,J$6),IF($A30="Sales VAT",SUM(J$8:J$12)*Inputs!$B$7/(1+Inputs!$B$7),IF(AND(J$6&gt;=$E30,J$6&lt;=$F30,Budget!$M20&gt;0),$D30/Budget!$M20,0)))</f>
        <v>0</v>
      </c>
      <c r="K30" s="35">
        <f>IF(K$5="Actual",SUMIFS(Outflows!$L$7:$L$163,Outflows!$H$7:$H$163,$A30,Outflows!$M$7:$M$163,K$6),IF($A30="Sales VAT",SUM(K$8:K$12)*Inputs!$B$7/(1+Inputs!$B$7),IF(AND(K$6&gt;=$E30,K$6&lt;=$F30,Budget!$M20&gt;0),$D30/Budget!$M20,0)))</f>
        <v>0</v>
      </c>
      <c r="L30" s="35">
        <f>IF(L$5="Actual",SUMIFS(Outflows!$L$7:$L$163,Outflows!$H$7:$H$163,$A30,Outflows!$M$7:$M$163,L$6),IF($A30="Sales VAT",SUM(L$8:L$12)*Inputs!$B$7/(1+Inputs!$B$7),IF(AND(L$6&gt;=$E30,L$6&lt;=$F30,Budget!$M20&gt;0),$D30/Budget!$M20,0)))</f>
        <v>0</v>
      </c>
      <c r="M30" s="35">
        <f>IF(M$5="Actual",SUMIFS(Outflows!$L$7:$L$163,Outflows!$H$7:$H$163,$A30,Outflows!$M$7:$M$163,M$6),IF($A30="Sales VAT",SUM(M$8:M$12)*Inputs!$B$7/(1+Inputs!$B$7),IF(AND(M$6&gt;=$E30,M$6&lt;=$F30,Budget!$M20&gt;0),$D30/Budget!$M20,0)))</f>
        <v>0</v>
      </c>
      <c r="N30" s="35">
        <f>IF(N$5="Actual",SUMIFS(Outflows!$L$7:$L$163,Outflows!$H$7:$H$163,$A30,Outflows!$M$7:$M$163,N$6),IF($A30="Sales VAT",SUM(N$8:N$12)*Inputs!$B$7/(1+Inputs!$B$7),IF(AND(N$6&gt;=$E30,N$6&lt;=$F30,Budget!$M20&gt;0),$D30/Budget!$M20,0)))</f>
        <v>0</v>
      </c>
      <c r="O30" s="35">
        <f>IF(O$5="Actual",SUMIFS(Outflows!$L$7:$L$163,Outflows!$H$7:$H$163,$A30,Outflows!$M$7:$M$163,O$6),IF($A30="Sales VAT",SUM(O$8:O$12)*Inputs!$B$7/(1+Inputs!$B$7),IF(AND(O$6&gt;=$E30,O$6&lt;=$F30,Budget!$M20&gt;0),$D30/Budget!$M20,0)))</f>
        <v>0</v>
      </c>
      <c r="P30" s="35">
        <f>IF(P$5="Actual",SUMIFS(Outflows!$L$7:$L$163,Outflows!$H$7:$H$163,$A30,Outflows!$M$7:$M$163,P$6),IF($A30="Sales VAT",SUM(P$8:P$12)*Inputs!$B$7/(1+Inputs!$B$7),IF(AND(P$6&gt;=$E30,P$6&lt;=$F30,Budget!$M20&gt;0),$D30/Budget!$M20,0)))</f>
        <v>0</v>
      </c>
      <c r="Q30" s="35">
        <f>IF(Q$5="Actual",SUMIFS(Outflows!$L$7:$L$163,Outflows!$H$7:$H$163,$A30,Outflows!$M$7:$M$163,Q$6),IF($A30="Sales VAT",SUM(Q$8:Q$12)*Inputs!$B$7/(1+Inputs!$B$7),IF(AND(Q$6&gt;=$E30,Q$6&lt;=$F30,Budget!$M20&gt;0),$D30/Budget!$M20,0)))</f>
        <v>0</v>
      </c>
      <c r="R30" s="35">
        <f>IF(R$5="Actual",SUMIFS(Outflows!$L$7:$L$163,Outflows!$H$7:$H$163,$A30,Outflows!$M$7:$M$163,R$6),IF($A30="Sales VAT",SUM(R$8:R$12)*Inputs!$B$7/(1+Inputs!$B$7),IF(AND(R$6&gt;=$E30,R$6&lt;=$F30,Budget!$M20&gt;0),$D30/Budget!$M20,0)))</f>
        <v>6974.1237732825957</v>
      </c>
      <c r="S30" s="35">
        <f>IF(S$5="Actual",SUMIFS(Outflows!$L$7:$L$163,Outflows!$H$7:$H$163,$A30,Outflows!$M$7:$M$163,S$6),IF($A30="Sales VAT",SUM(S$8:S$12)*Inputs!$B$7/(1+Inputs!$B$7),IF(AND(S$6&gt;=$E30,S$6&lt;=$F30,Budget!$M20&gt;0),$D30/Budget!$M20,0)))</f>
        <v>196.41220374492602</v>
      </c>
      <c r="T30" s="35">
        <f>IF(T$5="Actual",SUMIFS(Outflows!$L$7:$L$163,Outflows!$H$7:$H$163,$A30,Outflows!$M$7:$M$163,T$6),IF($A30="Sales VAT",SUM(T$8:T$12)*Inputs!$B$7/(1+Inputs!$B$7),IF(AND(T$6&gt;=$E30,T$6&lt;=$F30,Budget!$M20&gt;0),$D30/Budget!$M20,0)))</f>
        <v>0</v>
      </c>
      <c r="U30" s="35">
        <f>IF(U$5="Actual",SUMIFS(Outflows!$L$7:$L$163,Outflows!$H$7:$H$163,$A30,Outflows!$M$7:$M$163,U$6),IF($A30="Sales VAT",SUM(U$8:U$12)*Inputs!$B$7/(1+Inputs!$B$7),IF(AND(U$6&gt;=$E30,U$6&lt;=$F30,Budget!$M20&gt;0),$D30/Budget!$M20,0)))</f>
        <v>0</v>
      </c>
      <c r="V30" s="35">
        <f>IF(V$5="Actual",SUMIFS(Outflows!$L$7:$L$163,Outflows!$H$7:$H$163,$A30,Outflows!$M$7:$M$163,V$6),IF($A30="Sales VAT",SUM(V$8:V$12)*Inputs!$B$7/(1+Inputs!$B$7),IF(AND(V$6&gt;=$E30,V$6&lt;=$F30,Budget!$M20&gt;0),$D30/Budget!$M20,0)))</f>
        <v>0</v>
      </c>
      <c r="W30" s="35">
        <f>IF(W$5="Actual",SUMIFS(Outflows!$L$7:$L$163,Outflows!$H$7:$H$163,$A30,Outflows!$M$7:$M$163,W$6),IF($A30="Sales VAT",SUM(W$8:W$12)*Inputs!$B$7/(1+Inputs!$B$7),IF(AND(W$6&gt;=$E30,W$6&lt;=$F30,Budget!$M20&gt;0),$D30/Budget!$M20,0)))</f>
        <v>0</v>
      </c>
      <c r="X30" s="35">
        <f>IF(X$5="Actual",SUMIFS(Outflows!$L$7:$L$163,Outflows!$H$7:$H$163,$A30,Outflows!$M$7:$M$163,X$6),IF($A30="Sales VAT",SUM(X$8:X$12)*Inputs!$B$7/(1+Inputs!$B$7),IF(AND(X$6&gt;=$E30,X$6&lt;=$F30,Budget!$M20&gt;0),$D30/Budget!$M20,0)))</f>
        <v>0</v>
      </c>
      <c r="Y30" s="35">
        <f>IF(Y$5="Actual",SUMIFS(Outflows!$L$7:$L$163,Outflows!$H$7:$H$163,$A30,Outflows!$M$7:$M$163,Y$6),IF($A30="Sales VAT",SUM(Y$8:Y$12)*Inputs!$B$7/(1+Inputs!$B$7),IF(AND(Y$6&gt;=$E30,Y$6&lt;=$F30,Budget!$M20&gt;0),$D30/Budget!$M20,0)))</f>
        <v>22333.526666666665</v>
      </c>
      <c r="Z30" s="35">
        <f>IF(Z$5="Actual",SUMIFS(Outflows!$L$7:$L$163,Outflows!$H$7:$H$163,$A30,Outflows!$M$7:$M$163,Z$6),IF($A30="Sales VAT",SUM(Z$8:Z$12)*Inputs!$B$7/(1+Inputs!$B$7),IF(AND(Z$6&gt;=$E30,Z$6&lt;=$F30,Budget!$M20&gt;0),$D30/Budget!$M20,0)))</f>
        <v>0</v>
      </c>
      <c r="AA30" s="35">
        <f>IF(AA$5="Actual",SUMIFS(Outflows!$L$7:$L$163,Outflows!$H$7:$H$163,$A30,Outflows!$M$7:$M$163,AA$6),IF($A30="Sales VAT",SUM(AA$8:AA$12)*Inputs!$B$7/(1+Inputs!$B$7),IF(AND(AA$6&gt;=$E30,AA$6&lt;=$F30,Budget!$M20&gt;0),$D30/Budget!$M20,0)))</f>
        <v>0</v>
      </c>
      <c r="AB30" s="35">
        <f>IF(AB$5="Actual",SUMIFS(Outflows!$L$7:$L$163,Outflows!$H$7:$H$163,$A30,Outflows!$M$7:$M$163,AB$6),IF($A30="Sales VAT",SUM(AB$8:AB$12)*Inputs!$B$7/(1+Inputs!$B$7),IF(AND(AB$6&gt;=$E30,AB$6&lt;=$F30,Budget!$M20&gt;0),$D30/Budget!$M20,0)))</f>
        <v>0</v>
      </c>
      <c r="AC30" s="35">
        <f>IF(AC$5="Actual",SUMIFS(Outflows!$L$7:$L$163,Outflows!$H$7:$H$163,$A30,Outflows!$M$7:$M$163,AC$6),IF($A30="Sales VAT",SUM(AC$8:AC$12)*Inputs!$B$7/(1+Inputs!$B$7),IF(AND(AC$6&gt;=$E30,AC$6&lt;=$F30,Budget!$M20&gt;0),$D30/Budget!$M20,0)))</f>
        <v>0</v>
      </c>
      <c r="AD30" s="35">
        <f>IF(AD$5="Actual",SUMIFS(Outflows!$L$7:$L$163,Outflows!$H$7:$H$163,$A30,Outflows!$M$7:$M$163,AD$6),IF($A30="Sales VAT",SUM(AD$8:AD$12)*Inputs!$B$7/(1+Inputs!$B$7),IF(AND(AD$6&gt;=$E30,AD$6&lt;=$F30,Budget!$M20&gt;0),$D30/Budget!$M20,0)))</f>
        <v>7940.696168608818</v>
      </c>
      <c r="AE30" s="35">
        <f>IF(AE$5="Actual",SUMIFS(Outflows!$L$7:$L$163,Outflows!$H$7:$H$163,$A30,Outflows!$M$7:$M$163,AE$6),IF($A30="Sales VAT",SUM(AE$8:AE$12)*Inputs!$B$7/(1+Inputs!$B$7),IF(AND(AE$6&gt;=$E30,AE$6&lt;=$F30,Budget!$M20&gt;0),$D30/Budget!$M20,0)))</f>
        <v>7940.696168608818</v>
      </c>
      <c r="AF30" s="35">
        <f>IF(AF$5="Actual",SUMIFS(Outflows!$L$7:$L$163,Outflows!$H$7:$H$163,$A30,Outflows!$M$7:$M$163,AF$6),IF($A30="Sales VAT",SUM(AF$8:AF$12)*Inputs!$B$7/(1+Inputs!$B$7),IF(AND(AF$6&gt;=$E30,AF$6&lt;=$F30,Budget!$M20&gt;0),$D30/Budget!$M20,0)))</f>
        <v>7940.696168608818</v>
      </c>
      <c r="AG30" s="35">
        <f>IF(AG$5="Actual",SUMIFS(Outflows!$L$7:$L$163,Outflows!$H$7:$H$163,$A30,Outflows!$M$7:$M$163,AG$6),IF($A30="Sales VAT",SUM(AG$8:AG$12)*Inputs!$B$7/(1+Inputs!$B$7),IF(AND(AG$6&gt;=$E30,AG$6&lt;=$F30,Budget!$M20&gt;0),$D30/Budget!$M20,0)))</f>
        <v>7940.696168608818</v>
      </c>
      <c r="AH30" s="35">
        <f>IF(AH$5="Actual",SUMIFS(Outflows!$L$7:$L$163,Outflows!$H$7:$H$163,$A30,Outflows!$M$7:$M$163,AH$6),IF($A30="Sales VAT",SUM(AH$8:AH$12)*Inputs!$B$7/(1+Inputs!$B$7),IF(AND(AH$6&gt;=$E30,AH$6&lt;=$F30,Budget!$M20&gt;0),$D30/Budget!$M20,0)))</f>
        <v>7940.696168608818</v>
      </c>
      <c r="AI30" s="35">
        <f>IF(AI$5="Actual",SUMIFS(Outflows!$L$7:$L$163,Outflows!$H$7:$H$163,$A30,Outflows!$M$7:$M$163,AI$6),IF($A30="Sales VAT",SUM(AI$8:AI$12)*Inputs!$B$7/(1+Inputs!$B$7),IF(AND(AI$6&gt;=$E30,AI$6&lt;=$F30,Budget!$M20&gt;0),$D30/Budget!$M20,0)))</f>
        <v>7940.696168608818</v>
      </c>
      <c r="AJ30" s="35">
        <f>IF(AJ$5="Actual",SUMIFS(Outflows!$L$7:$L$163,Outflows!$H$7:$H$163,$A30,Outflows!$M$7:$M$163,AJ$6),IF($A30="Sales VAT",SUM(AJ$8:AJ$12)*Inputs!$B$7/(1+Inputs!$B$7),IF(AND(AJ$6&gt;=$E30,AJ$6&lt;=$F30,Budget!$M20&gt;0),$D30/Budget!$M20,0)))</f>
        <v>7940.696168608818</v>
      </c>
      <c r="AK30" s="35">
        <f>IF(AK$5="Actual",SUMIFS(Outflows!$L$7:$L$163,Outflows!$H$7:$H$163,$A30,Outflows!$M$7:$M$163,AK$6),IF($A30="Sales VAT",SUM(AK$8:AK$12)*Inputs!$B$7/(1+Inputs!$B$7),IF(AND(AK$6&gt;=$E30,AK$6&lt;=$F30,Budget!$M20&gt;0),$D30/Budget!$M20,0)))</f>
        <v>7940.696168608818</v>
      </c>
      <c r="AL30" s="35">
        <f>IF(AL$5="Actual",SUMIFS(Outflows!$L$7:$L$163,Outflows!$H$7:$H$163,$A30,Outflows!$M$7:$M$163,AL$6),IF($A30="Sales VAT",SUM(AL$8:AL$12)*Inputs!$B$7/(1+Inputs!$B$7),IF(AND(AL$6&gt;=$E30,AL$6&lt;=$F30,Budget!$M20&gt;0),$D30/Budget!$M20,0)))</f>
        <v>7940.696168608818</v>
      </c>
      <c r="AM30" s="35">
        <f>IF(AM$5="Actual",SUMIFS(Outflows!$L$7:$L$163,Outflows!$H$7:$H$163,$A30,Outflows!$M$7:$M$163,AM$6),IF($A30="Sales VAT",SUM(AM$8:AM$12)*Inputs!$B$7/(1+Inputs!$B$7),IF(AND(AM$6&gt;=$E30,AM$6&lt;=$F30,Budget!$M20&gt;0),$D30/Budget!$M20,0)))</f>
        <v>7940.696168608818</v>
      </c>
      <c r="AN30" s="35">
        <f>IF(AN$5="Actual",SUMIFS(Outflows!$L$7:$L$163,Outflows!$H$7:$H$163,$A30,Outflows!$M$7:$M$163,AN$6),IF($A30="Sales VAT",SUM(AN$8:AN$12)*Inputs!$B$7/(1+Inputs!$B$7),IF(AND(AN$6&gt;=$E30,AN$6&lt;=$F30,Budget!$M20&gt;0),$D30/Budget!$M20,0)))</f>
        <v>7940.696168608818</v>
      </c>
      <c r="AO30" s="35">
        <f>IF(AO$5="Actual",SUMIFS(Outflows!$L$7:$L$163,Outflows!$H$7:$H$163,$A30,Outflows!$M$7:$M$163,AO$6),IF($A30="Sales VAT",SUM(AO$8:AO$12)*Inputs!$B$7/(1+Inputs!$B$7),IF(AND(AO$6&gt;=$E30,AO$6&lt;=$F30,Budget!$M20&gt;0),$D30/Budget!$M20,0)))</f>
        <v>7940.696168608818</v>
      </c>
      <c r="AP30" s="35">
        <f>IF(AP$5="Actual",SUMIFS(Outflows!$L$7:$L$163,Outflows!$H$7:$H$163,$A30,Outflows!$M$7:$M$163,AP$6),IF($A30="Sales VAT",SUM(AP$8:AP$12)*Inputs!$B$7/(1+Inputs!$B$7),IF(AND(AP$6&gt;=$E30,AP$6&lt;=$F30,Budget!$M20&gt;0),$D30/Budget!$M20,0)))</f>
        <v>0</v>
      </c>
      <c r="AQ30" s="35">
        <f>IF(AQ$5="Actual",SUMIFS(Outflows!$L$7:$L$163,Outflows!$H$7:$H$163,$A30,Outflows!$M$7:$M$163,AQ$6),IF($A30="Sales VAT",SUM(AQ$8:AQ$12)*Inputs!$B$7/(1+Inputs!$B$7),IF(AND(AQ$6&gt;=$E30,AQ$6&lt;=$F30,Budget!$M20&gt;0),$D30/Budget!$M20,0)))</f>
        <v>0</v>
      </c>
      <c r="AR30" s="35">
        <f>IF(AR$5="Actual",SUMIFS(Outflows!$L$7:$L$163,Outflows!$H$7:$H$163,$A30,Outflows!$M$7:$M$163,AR$6),IF($A30="Sales VAT",SUM(AR$8:AR$12)*Inputs!$B$7/(1+Inputs!$B$7),IF(AND(AR$6&gt;=$E30,AR$6&lt;=$F30,Budget!$M20&gt;0),$D30/Budget!$M20,0)))</f>
        <v>0</v>
      </c>
      <c r="AS30" s="35">
        <f>IF(AS$5="Actual",SUMIFS(Outflows!$L$7:$L$163,Outflows!$H$7:$H$163,$A30,Outflows!$M$7:$M$163,AS$6),IF($A30="Sales VAT",SUM(AS$8:AS$12)*Inputs!$B$7/(1+Inputs!$B$7),IF(AND(AS$6&gt;=$E30,AS$6&lt;=$F30,Budget!$M20&gt;0),$D30/Budget!$M20,0)))</f>
        <v>0</v>
      </c>
      <c r="AT30" s="35">
        <f>IF(AT$5="Actual",SUMIFS(Outflows!$L$7:$L$163,Outflows!$H$7:$H$163,$A30,Outflows!$M$7:$M$163,AT$6),IF($A30="Sales VAT",SUM(AT$8:AT$12)*Inputs!$B$7/(1+Inputs!$B$7),IF(AND(AT$6&gt;=$E30,AT$6&lt;=$F30,Budget!$M20&gt;0),$D30/Budget!$M20,0)))</f>
        <v>0</v>
      </c>
      <c r="AU30" s="35">
        <f>IF(AU$5="Actual",SUMIFS(Outflows!$L$7:$L$163,Outflows!$H$7:$H$163,$A30,Outflows!$M$7:$M$163,AU$6),IF($A30="Sales VAT",SUM(AU$8:AU$12)*Inputs!$B$7/(1+Inputs!$B$7),IF(AND(AU$6&gt;=$E30,AU$6&lt;=$F30,Budget!$M20&gt;0),$D30/Budget!$M20,0)))</f>
        <v>0</v>
      </c>
      <c r="AV30" s="35">
        <f>IF(AV$5="Actual",SUMIFS(Outflows!$L$7:$L$163,Outflows!$H$7:$H$163,$A30,Outflows!$M$7:$M$163,AV$6),IF($A30="Sales VAT",SUM(AV$8:AV$12)*Inputs!$B$7/(1+Inputs!$B$7),IF(AND(AV$6&gt;=$E30,AV$6&lt;=$F30,Budget!$M20&gt;0),$D30/Budget!$M20,0)))</f>
        <v>0</v>
      </c>
      <c r="AW30" s="35">
        <f>IF(AW$5="Actual",SUMIFS(Outflows!$L$7:$L$163,Outflows!$H$7:$H$163,$A30,Outflows!$M$7:$M$163,AW$6),IF($A30="Sales VAT",SUM(AW$8:AW$12)*Inputs!$B$7/(1+Inputs!$B$7),IF(AND(AW$6&gt;=$E30,AW$6&lt;=$F30,Budget!$M20&gt;0),$D30/Budget!$M20,0)))</f>
        <v>0</v>
      </c>
      <c r="AX30" s="35">
        <f>IF(AX$5="Actual",SUMIFS(Outflows!$L$7:$L$163,Outflows!$H$7:$H$163,$A30,Outflows!$M$7:$M$163,AX$6),IF($A30="Sales VAT",SUM(AX$8:AX$12)*Inputs!$B$7/(1+Inputs!$B$7),IF(AND(AX$6&gt;=$E30,AX$6&lt;=$F30,Budget!$M20&gt;0),$D30/Budget!$M20,0)))</f>
        <v>0</v>
      </c>
      <c r="AY30" s="35">
        <f>IF(AY$5="Actual",SUMIFS(Outflows!$L$7:$L$163,Outflows!$H$7:$H$163,$A30,Outflows!$M$7:$M$163,AY$6),IF($A30="Sales VAT",SUM(AY$8:AY$12)*Inputs!$B$7/(1+Inputs!$B$7),IF(AND(AY$6&gt;=$E30,AY$6&lt;=$F30,Budget!$M20&gt;0),$D30/Budget!$M20,0)))</f>
        <v>0</v>
      </c>
      <c r="AZ30" s="35">
        <f>IF(AZ$5="Actual",SUMIFS(Outflows!$L$7:$L$163,Outflows!$H$7:$H$163,$A30,Outflows!$M$7:$M$163,AZ$6),IF($A30="Sales VAT",SUM(AZ$8:AZ$12)*Inputs!$B$7/(1+Inputs!$B$7),IF(AND(AZ$6&gt;=$E30,AZ$6&lt;=$F30,Budget!$M20&gt;0),$D30/Budget!$M20,0)))</f>
        <v>0</v>
      </c>
      <c r="BA30" s="35">
        <f>IF(BA$5="Actual",SUMIFS(Outflows!$L$7:$L$163,Outflows!$H$7:$H$163,$A30,Outflows!$M$7:$M$163,BA$6),IF($A30="Sales VAT",SUM(BA$8:BA$12)*Inputs!$B$7/(1+Inputs!$B$7),IF(AND(BA$6&gt;=$E30,BA$6&lt;=$F30,Budget!$M20&gt;0),$D30/Budget!$M20,0)))</f>
        <v>0</v>
      </c>
    </row>
    <row r="31" spans="1:53">
      <c r="A31" s="6" t="str">
        <f>Budget!C21</f>
        <v>Tax &amp; legal advice</v>
      </c>
      <c r="B31" s="35">
        <f>Budget!G21</f>
        <v>17941.97</v>
      </c>
      <c r="C31" s="35">
        <f>Budget!H21</f>
        <v>18417.396712667352</v>
      </c>
      <c r="D31" s="35">
        <f>Budget!I21</f>
        <v>0</v>
      </c>
      <c r="E31" s="61">
        <f>Budget!K21</f>
        <v>45292</v>
      </c>
      <c r="F31" s="61">
        <f>Budget!L21</f>
        <v>45627</v>
      </c>
      <c r="G31" s="35">
        <f>IF(G$5="Actual",SUMIFS(Outflows!$L$7:$L$163,Outflows!$H$7:$H$163,$A31,Outflows!$M$7:$M$163,G$6),IF($A31="Sales VAT",SUM(G$8:G$12)*Inputs!$B$7/(1+Inputs!$B$7),IF(AND(G$6&gt;=$E31,G$6&lt;=$F31,Budget!$M21&gt;0),$D31/Budget!$M21,0)))</f>
        <v>0</v>
      </c>
      <c r="H31" s="35">
        <f>IF(H$5="Actual",SUMIFS(Outflows!$L$7:$L$163,Outflows!$H$7:$H$163,$A31,Outflows!$M$7:$M$163,H$6),IF($A31="Sales VAT",SUM(H$8:H$12)*Inputs!$B$7/(1+Inputs!$B$7),IF(AND(H$6&gt;=$E31,H$6&lt;=$F31,Budget!$M21&gt;0),$D31/Budget!$M21,0)))</f>
        <v>0</v>
      </c>
      <c r="I31" s="35">
        <f>IF(I$5="Actual",SUMIFS(Outflows!$L$7:$L$163,Outflows!$H$7:$H$163,$A31,Outflows!$M$7:$M$163,I$6),IF($A31="Sales VAT",SUM(I$8:I$12)*Inputs!$B$7/(1+Inputs!$B$7),IF(AND(I$6&gt;=$E31,I$6&lt;=$F31,Budget!$M21&gt;0),$D31/Budget!$M21,0)))</f>
        <v>0</v>
      </c>
      <c r="J31" s="35">
        <f>IF(J$5="Actual",SUMIFS(Outflows!$L$7:$L$163,Outflows!$H$7:$H$163,$A31,Outflows!$M$7:$M$163,J$6),IF($A31="Sales VAT",SUM(J$8:J$12)*Inputs!$B$7/(1+Inputs!$B$7),IF(AND(J$6&gt;=$E31,J$6&lt;=$F31,Budget!$M21&gt;0),$D31/Budget!$M21,0)))</f>
        <v>0</v>
      </c>
      <c r="K31" s="35">
        <f>IF(K$5="Actual",SUMIFS(Outflows!$L$7:$L$163,Outflows!$H$7:$H$163,$A31,Outflows!$M$7:$M$163,K$6),IF($A31="Sales VAT",SUM(K$8:K$12)*Inputs!$B$7/(1+Inputs!$B$7),IF(AND(K$6&gt;=$E31,K$6&lt;=$F31,Budget!$M21&gt;0),$D31/Budget!$M21,0)))</f>
        <v>0</v>
      </c>
      <c r="L31" s="35">
        <f>IF(L$5="Actual",SUMIFS(Outflows!$L$7:$L$163,Outflows!$H$7:$H$163,$A31,Outflows!$M$7:$M$163,L$6),IF($A31="Sales VAT",SUM(L$8:L$12)*Inputs!$B$7/(1+Inputs!$B$7),IF(AND(L$6&gt;=$E31,L$6&lt;=$F31,Budget!$M21&gt;0),$D31/Budget!$M21,0)))</f>
        <v>0</v>
      </c>
      <c r="M31" s="35">
        <f>IF(M$5="Actual",SUMIFS(Outflows!$L$7:$L$163,Outflows!$H$7:$H$163,$A31,Outflows!$M$7:$M$163,M$6),IF($A31="Sales VAT",SUM(M$8:M$12)*Inputs!$B$7/(1+Inputs!$B$7),IF(AND(M$6&gt;=$E31,M$6&lt;=$F31,Budget!$M21&gt;0),$D31/Budget!$M21,0)))</f>
        <v>0</v>
      </c>
      <c r="N31" s="35">
        <f>IF(N$5="Actual",SUMIFS(Outflows!$L$7:$L$163,Outflows!$H$7:$H$163,$A31,Outflows!$M$7:$M$163,N$6),IF($A31="Sales VAT",SUM(N$8:N$12)*Inputs!$B$7/(1+Inputs!$B$7),IF(AND(N$6&gt;=$E31,N$6&lt;=$F31,Budget!$M21&gt;0),$D31/Budget!$M21,0)))</f>
        <v>1564.504492687086</v>
      </c>
      <c r="O31" s="35">
        <f>IF(O$5="Actual",SUMIFS(Outflows!$L$7:$L$163,Outflows!$H$7:$H$163,$A31,Outflows!$M$7:$M$163,O$6),IF($A31="Sales VAT",SUM(O$8:O$12)*Inputs!$B$7/(1+Inputs!$B$7),IF(AND(O$6&gt;=$E31,O$6&lt;=$F31,Budget!$M21&gt;0),$D31/Budget!$M21,0)))</f>
        <v>965.12675331360185</v>
      </c>
      <c r="P31" s="35">
        <f>IF(P$5="Actual",SUMIFS(Outflows!$L$7:$L$163,Outflows!$H$7:$H$163,$A31,Outflows!$M$7:$M$163,P$6),IF($A31="Sales VAT",SUM(P$8:P$12)*Inputs!$B$7/(1+Inputs!$B$7),IF(AND(P$6&gt;=$E31,P$6&lt;=$F31,Budget!$M21&gt;0),$D31/Budget!$M21,0)))</f>
        <v>0</v>
      </c>
      <c r="Q31" s="35">
        <f>IF(Q$5="Actual",SUMIFS(Outflows!$L$7:$L$163,Outflows!$H$7:$H$163,$A31,Outflows!$M$7:$M$163,Q$6),IF($A31="Sales VAT",SUM(Q$8:Q$12)*Inputs!$B$7/(1+Inputs!$B$7),IF(AND(Q$6&gt;=$E31,Q$6&lt;=$F31,Budget!$M21&gt;0),$D31/Budget!$M21,0)))</f>
        <v>0</v>
      </c>
      <c r="R31" s="35">
        <f>IF(R$5="Actual",SUMIFS(Outflows!$L$7:$L$163,Outflows!$H$7:$H$163,$A31,Outflows!$M$7:$M$163,R$6),IF($A31="Sales VAT",SUM(R$8:R$12)*Inputs!$B$7/(1+Inputs!$B$7),IF(AND(R$6&gt;=$E31,R$6&lt;=$F31,Budget!$M21&gt;0),$D31/Budget!$M21,0)))</f>
        <v>0</v>
      </c>
      <c r="S31" s="35">
        <f>IF(S$5="Actual",SUMIFS(Outflows!$L$7:$L$163,Outflows!$H$7:$H$163,$A31,Outflows!$M$7:$M$163,S$6),IF($A31="Sales VAT",SUM(S$8:S$12)*Inputs!$B$7/(1+Inputs!$B$7),IF(AND(S$6&gt;=$E31,S$6&lt;=$F31,Budget!$M21&gt;0),$D31/Budget!$M21,0)))</f>
        <v>0</v>
      </c>
      <c r="T31" s="35">
        <f>IF(T$5="Actual",SUMIFS(Outflows!$L$7:$L$163,Outflows!$H$7:$H$163,$A31,Outflows!$M$7:$M$163,T$6),IF($A31="Sales VAT",SUM(T$8:T$12)*Inputs!$B$7/(1+Inputs!$B$7),IF(AND(T$6&gt;=$E31,T$6&lt;=$F31,Budget!$M21&gt;0),$D31/Budget!$M21,0)))</f>
        <v>0</v>
      </c>
      <c r="U31" s="35">
        <f>IF(U$5="Actual",SUMIFS(Outflows!$L$7:$L$163,Outflows!$H$7:$H$163,$A31,Outflows!$M$7:$M$163,U$6),IF($A31="Sales VAT",SUM(U$8:U$12)*Inputs!$B$7/(1+Inputs!$B$7),IF(AND(U$6&gt;=$E31,U$6&lt;=$F31,Budget!$M21&gt;0),$D31/Budget!$M21,0)))</f>
        <v>0</v>
      </c>
      <c r="V31" s="35">
        <f>IF(V$5="Actual",SUMIFS(Outflows!$L$7:$L$163,Outflows!$H$7:$H$163,$A31,Outflows!$M$7:$M$163,V$6),IF($A31="Sales VAT",SUM(V$8:V$12)*Inputs!$B$7/(1+Inputs!$B$7),IF(AND(V$6&gt;=$E31,V$6&lt;=$F31,Budget!$M21&gt;0),$D31/Budget!$M21,0)))</f>
        <v>3561.8916666666669</v>
      </c>
      <c r="W31" s="35">
        <f>IF(W$5="Actual",SUMIFS(Outflows!$L$7:$L$163,Outflows!$H$7:$H$163,$A31,Outflows!$M$7:$M$163,W$6),IF($A31="Sales VAT",SUM(W$8:W$12)*Inputs!$B$7/(1+Inputs!$B$7),IF(AND(W$6&gt;=$E31,W$6&lt;=$F31,Budget!$M21&gt;0),$D31/Budget!$M21,0)))</f>
        <v>0</v>
      </c>
      <c r="X31" s="35">
        <f>IF(X$5="Actual",SUMIFS(Outflows!$L$7:$L$163,Outflows!$H$7:$H$163,$A31,Outflows!$M$7:$M$163,X$6),IF($A31="Sales VAT",SUM(X$8:X$12)*Inputs!$B$7/(1+Inputs!$B$7),IF(AND(X$6&gt;=$E31,X$6&lt;=$F31,Budget!$M21&gt;0),$D31/Budget!$M21,0)))</f>
        <v>8780.1102666666666</v>
      </c>
      <c r="Y31" s="35">
        <f>IF(Y$5="Actual",SUMIFS(Outflows!$L$7:$L$163,Outflows!$H$7:$H$163,$A31,Outflows!$M$7:$M$163,Y$6),IF($A31="Sales VAT",SUM(Y$8:Y$12)*Inputs!$B$7/(1+Inputs!$B$7),IF(AND(Y$6&gt;=$E31,Y$6&lt;=$F31,Budget!$M21&gt;0),$D31/Budget!$M21,0)))</f>
        <v>0</v>
      </c>
      <c r="Z31" s="35">
        <f>IF(Z$5="Actual",SUMIFS(Outflows!$L$7:$L$163,Outflows!$H$7:$H$163,$A31,Outflows!$M$7:$M$163,Z$6),IF($A31="Sales VAT",SUM(Z$8:Z$12)*Inputs!$B$7/(1+Inputs!$B$7),IF(AND(Z$6&gt;=$E31,Z$6&lt;=$F31,Budget!$M21&gt;0),$D31/Budget!$M21,0)))</f>
        <v>3545.7635333333333</v>
      </c>
      <c r="AA31" s="35">
        <f>IF(AA$5="Actual",SUMIFS(Outflows!$L$7:$L$163,Outflows!$H$7:$H$163,$A31,Outflows!$M$7:$M$163,AA$6),IF($A31="Sales VAT",SUM(AA$8:AA$12)*Inputs!$B$7/(1+Inputs!$B$7),IF(AND(AA$6&gt;=$E31,AA$6&lt;=$F31,Budget!$M21&gt;0),$D31/Budget!$M21,0)))</f>
        <v>0</v>
      </c>
      <c r="AB31" s="35">
        <f>IF(AB$5="Actual",SUMIFS(Outflows!$L$7:$L$163,Outflows!$H$7:$H$163,$A31,Outflows!$M$7:$M$163,AB$6),IF($A31="Sales VAT",SUM(AB$8:AB$12)*Inputs!$B$7/(1+Inputs!$B$7),IF(AND(AB$6&gt;=$E31,AB$6&lt;=$F31,Budget!$M21&gt;0),$D31/Budget!$M21,0)))</f>
        <v>0</v>
      </c>
      <c r="AC31" s="35">
        <f>IF(AC$5="Actual",SUMIFS(Outflows!$L$7:$L$163,Outflows!$H$7:$H$163,$A31,Outflows!$M$7:$M$163,AC$6),IF($A31="Sales VAT",SUM(AC$8:AC$12)*Inputs!$B$7/(1+Inputs!$B$7),IF(AND(AC$6&gt;=$E31,AC$6&lt;=$F31,Budget!$M21&gt;0),$D31/Budget!$M21,0)))</f>
        <v>0</v>
      </c>
      <c r="AD31" s="35">
        <f>IF(AD$5="Actual",SUMIFS(Outflows!$L$7:$L$163,Outflows!$H$7:$H$163,$A31,Outflows!$M$7:$M$163,AD$6),IF($A31="Sales VAT",SUM(AD$8:AD$12)*Inputs!$B$7/(1+Inputs!$B$7),IF(AND(AD$6&gt;=$E31,AD$6&lt;=$F31,Budget!$M21&gt;0),$D31/Budget!$M21,0)))</f>
        <v>0</v>
      </c>
      <c r="AE31" s="35">
        <f>IF(AE$5="Actual",SUMIFS(Outflows!$L$7:$L$163,Outflows!$H$7:$H$163,$A31,Outflows!$M$7:$M$163,AE$6),IF($A31="Sales VAT",SUM(AE$8:AE$12)*Inputs!$B$7/(1+Inputs!$B$7),IF(AND(AE$6&gt;=$E31,AE$6&lt;=$F31,Budget!$M21&gt;0),$D31/Budget!$M21,0)))</f>
        <v>0</v>
      </c>
      <c r="AF31" s="35">
        <f>IF(AF$5="Actual",SUMIFS(Outflows!$L$7:$L$163,Outflows!$H$7:$H$163,$A31,Outflows!$M$7:$M$163,AF$6),IF($A31="Sales VAT",SUM(AF$8:AF$12)*Inputs!$B$7/(1+Inputs!$B$7),IF(AND(AF$6&gt;=$E31,AF$6&lt;=$F31,Budget!$M21&gt;0),$D31/Budget!$M21,0)))</f>
        <v>0</v>
      </c>
      <c r="AG31" s="35">
        <f>IF(AG$5="Actual",SUMIFS(Outflows!$L$7:$L$163,Outflows!$H$7:$H$163,$A31,Outflows!$M$7:$M$163,AG$6),IF($A31="Sales VAT",SUM(AG$8:AG$12)*Inputs!$B$7/(1+Inputs!$B$7),IF(AND(AG$6&gt;=$E31,AG$6&lt;=$F31,Budget!$M21&gt;0),$D31/Budget!$M21,0)))</f>
        <v>0</v>
      </c>
      <c r="AH31" s="35">
        <f>IF(AH$5="Actual",SUMIFS(Outflows!$L$7:$L$163,Outflows!$H$7:$H$163,$A31,Outflows!$M$7:$M$163,AH$6),IF($A31="Sales VAT",SUM(AH$8:AH$12)*Inputs!$B$7/(1+Inputs!$B$7),IF(AND(AH$6&gt;=$E31,AH$6&lt;=$F31,Budget!$M21&gt;0),$D31/Budget!$M21,0)))</f>
        <v>0</v>
      </c>
      <c r="AI31" s="35">
        <f>IF(AI$5="Actual",SUMIFS(Outflows!$L$7:$L$163,Outflows!$H$7:$H$163,$A31,Outflows!$M$7:$M$163,AI$6),IF($A31="Sales VAT",SUM(AI$8:AI$12)*Inputs!$B$7/(1+Inputs!$B$7),IF(AND(AI$6&gt;=$E31,AI$6&lt;=$F31,Budget!$M21&gt;0),$D31/Budget!$M21,0)))</f>
        <v>0</v>
      </c>
      <c r="AJ31" s="35">
        <f>IF(AJ$5="Actual",SUMIFS(Outflows!$L$7:$L$163,Outflows!$H$7:$H$163,$A31,Outflows!$M$7:$M$163,AJ$6),IF($A31="Sales VAT",SUM(AJ$8:AJ$12)*Inputs!$B$7/(1+Inputs!$B$7),IF(AND(AJ$6&gt;=$E31,AJ$6&lt;=$F31,Budget!$M21&gt;0),$D31/Budget!$M21,0)))</f>
        <v>0</v>
      </c>
      <c r="AK31" s="35">
        <f>IF(AK$5="Actual",SUMIFS(Outflows!$L$7:$L$163,Outflows!$H$7:$H$163,$A31,Outflows!$M$7:$M$163,AK$6),IF($A31="Sales VAT",SUM(AK$8:AK$12)*Inputs!$B$7/(1+Inputs!$B$7),IF(AND(AK$6&gt;=$E31,AK$6&lt;=$F31,Budget!$M21&gt;0),$D31/Budget!$M21,0)))</f>
        <v>0</v>
      </c>
      <c r="AL31" s="35">
        <f>IF(AL$5="Actual",SUMIFS(Outflows!$L$7:$L$163,Outflows!$H$7:$H$163,$A31,Outflows!$M$7:$M$163,AL$6),IF($A31="Sales VAT",SUM(AL$8:AL$12)*Inputs!$B$7/(1+Inputs!$B$7),IF(AND(AL$6&gt;=$E31,AL$6&lt;=$F31,Budget!$M21&gt;0),$D31/Budget!$M21,0)))</f>
        <v>0</v>
      </c>
      <c r="AM31" s="35">
        <f>IF(AM$5="Actual",SUMIFS(Outflows!$L$7:$L$163,Outflows!$H$7:$H$163,$A31,Outflows!$M$7:$M$163,AM$6),IF($A31="Sales VAT",SUM(AM$8:AM$12)*Inputs!$B$7/(1+Inputs!$B$7),IF(AND(AM$6&gt;=$E31,AM$6&lt;=$F31,Budget!$M21&gt;0),$D31/Budget!$M21,0)))</f>
        <v>0</v>
      </c>
      <c r="AN31" s="35">
        <f>IF(AN$5="Actual",SUMIFS(Outflows!$L$7:$L$163,Outflows!$H$7:$H$163,$A31,Outflows!$M$7:$M$163,AN$6),IF($A31="Sales VAT",SUM(AN$8:AN$12)*Inputs!$B$7/(1+Inputs!$B$7),IF(AND(AN$6&gt;=$E31,AN$6&lt;=$F31,Budget!$M21&gt;0),$D31/Budget!$M21,0)))</f>
        <v>0</v>
      </c>
      <c r="AO31" s="35">
        <f>IF(AO$5="Actual",SUMIFS(Outflows!$L$7:$L$163,Outflows!$H$7:$H$163,$A31,Outflows!$M$7:$M$163,AO$6),IF($A31="Sales VAT",SUM(AO$8:AO$12)*Inputs!$B$7/(1+Inputs!$B$7),IF(AND(AO$6&gt;=$E31,AO$6&lt;=$F31,Budget!$M21&gt;0),$D31/Budget!$M21,0)))</f>
        <v>0</v>
      </c>
      <c r="AP31" s="35">
        <f>IF(AP$5="Actual",SUMIFS(Outflows!$L$7:$L$163,Outflows!$H$7:$H$163,$A31,Outflows!$M$7:$M$163,AP$6),IF($A31="Sales VAT",SUM(AP$8:AP$12)*Inputs!$B$7/(1+Inputs!$B$7),IF(AND(AP$6&gt;=$E31,AP$6&lt;=$F31,Budget!$M21&gt;0),$D31/Budget!$M21,0)))</f>
        <v>0</v>
      </c>
      <c r="AQ31" s="35">
        <f>IF(AQ$5="Actual",SUMIFS(Outflows!$L$7:$L$163,Outflows!$H$7:$H$163,$A31,Outflows!$M$7:$M$163,AQ$6),IF($A31="Sales VAT",SUM(AQ$8:AQ$12)*Inputs!$B$7/(1+Inputs!$B$7),IF(AND(AQ$6&gt;=$E31,AQ$6&lt;=$F31,Budget!$M21&gt;0),$D31/Budget!$M21,0)))</f>
        <v>0</v>
      </c>
      <c r="AR31" s="35">
        <f>IF(AR$5="Actual",SUMIFS(Outflows!$L$7:$L$163,Outflows!$H$7:$H$163,$A31,Outflows!$M$7:$M$163,AR$6),IF($A31="Sales VAT",SUM(AR$8:AR$12)*Inputs!$B$7/(1+Inputs!$B$7),IF(AND(AR$6&gt;=$E31,AR$6&lt;=$F31,Budget!$M21&gt;0),$D31/Budget!$M21,0)))</f>
        <v>0</v>
      </c>
      <c r="AS31" s="35">
        <f>IF(AS$5="Actual",SUMIFS(Outflows!$L$7:$L$163,Outflows!$H$7:$H$163,$A31,Outflows!$M$7:$M$163,AS$6),IF($A31="Sales VAT",SUM(AS$8:AS$12)*Inputs!$B$7/(1+Inputs!$B$7),IF(AND(AS$6&gt;=$E31,AS$6&lt;=$F31,Budget!$M21&gt;0),$D31/Budget!$M21,0)))</f>
        <v>0</v>
      </c>
      <c r="AT31" s="35">
        <f>IF(AT$5="Actual",SUMIFS(Outflows!$L$7:$L$163,Outflows!$H$7:$H$163,$A31,Outflows!$M$7:$M$163,AT$6),IF($A31="Sales VAT",SUM(AT$8:AT$12)*Inputs!$B$7/(1+Inputs!$B$7),IF(AND(AT$6&gt;=$E31,AT$6&lt;=$F31,Budget!$M21&gt;0),$D31/Budget!$M21,0)))</f>
        <v>0</v>
      </c>
      <c r="AU31" s="35">
        <f>IF(AU$5="Actual",SUMIFS(Outflows!$L$7:$L$163,Outflows!$H$7:$H$163,$A31,Outflows!$M$7:$M$163,AU$6),IF($A31="Sales VAT",SUM(AU$8:AU$12)*Inputs!$B$7/(1+Inputs!$B$7),IF(AND(AU$6&gt;=$E31,AU$6&lt;=$F31,Budget!$M21&gt;0),$D31/Budget!$M21,0)))</f>
        <v>0</v>
      </c>
      <c r="AV31" s="35">
        <f>IF(AV$5="Actual",SUMIFS(Outflows!$L$7:$L$163,Outflows!$H$7:$H$163,$A31,Outflows!$M$7:$M$163,AV$6),IF($A31="Sales VAT",SUM(AV$8:AV$12)*Inputs!$B$7/(1+Inputs!$B$7),IF(AND(AV$6&gt;=$E31,AV$6&lt;=$F31,Budget!$M21&gt;0),$D31/Budget!$M21,0)))</f>
        <v>0</v>
      </c>
      <c r="AW31" s="35">
        <f>IF(AW$5="Actual",SUMIFS(Outflows!$L$7:$L$163,Outflows!$H$7:$H$163,$A31,Outflows!$M$7:$M$163,AW$6),IF($A31="Sales VAT",SUM(AW$8:AW$12)*Inputs!$B$7/(1+Inputs!$B$7),IF(AND(AW$6&gt;=$E31,AW$6&lt;=$F31,Budget!$M21&gt;0),$D31/Budget!$M21,0)))</f>
        <v>0</v>
      </c>
      <c r="AX31" s="35">
        <f>IF(AX$5="Actual",SUMIFS(Outflows!$L$7:$L$163,Outflows!$H$7:$H$163,$A31,Outflows!$M$7:$M$163,AX$6),IF($A31="Sales VAT",SUM(AX$8:AX$12)*Inputs!$B$7/(1+Inputs!$B$7),IF(AND(AX$6&gt;=$E31,AX$6&lt;=$F31,Budget!$M21&gt;0),$D31/Budget!$M21,0)))</f>
        <v>0</v>
      </c>
      <c r="AY31" s="35">
        <f>IF(AY$5="Actual",SUMIFS(Outflows!$L$7:$L$163,Outflows!$H$7:$H$163,$A31,Outflows!$M$7:$M$163,AY$6),IF($A31="Sales VAT",SUM(AY$8:AY$12)*Inputs!$B$7/(1+Inputs!$B$7),IF(AND(AY$6&gt;=$E31,AY$6&lt;=$F31,Budget!$M21&gt;0),$D31/Budget!$M21,0)))</f>
        <v>0</v>
      </c>
      <c r="AZ31" s="35">
        <f>IF(AZ$5="Actual",SUMIFS(Outflows!$L$7:$L$163,Outflows!$H$7:$H$163,$A31,Outflows!$M$7:$M$163,AZ$6),IF($A31="Sales VAT",SUM(AZ$8:AZ$12)*Inputs!$B$7/(1+Inputs!$B$7),IF(AND(AZ$6&gt;=$E31,AZ$6&lt;=$F31,Budget!$M21&gt;0),$D31/Budget!$M21,0)))</f>
        <v>0</v>
      </c>
      <c r="BA31" s="35">
        <f>IF(BA$5="Actual",SUMIFS(Outflows!$L$7:$L$163,Outflows!$H$7:$H$163,$A31,Outflows!$M$7:$M$163,BA$6),IF($A31="Sales VAT",SUM(BA$8:BA$12)*Inputs!$B$7/(1+Inputs!$B$7),IF(AND(BA$6&gt;=$E31,BA$6&lt;=$F31,Budget!$M21&gt;0),$D31/Budget!$M21,0)))</f>
        <v>0</v>
      </c>
    </row>
    <row r="32" spans="1:53">
      <c r="A32" s="6" t="str">
        <f>Budget!C22</f>
        <v>Other professional fees</v>
      </c>
      <c r="B32" s="35">
        <f>Budget!G22</f>
        <v>40000</v>
      </c>
      <c r="C32" s="35">
        <f>Budget!H22</f>
        <v>40000</v>
      </c>
      <c r="D32" s="35">
        <f>Budget!I22</f>
        <v>0</v>
      </c>
      <c r="E32" s="61">
        <f>Budget!K22</f>
        <v>45292</v>
      </c>
      <c r="F32" s="61">
        <f>Budget!L22</f>
        <v>45627</v>
      </c>
      <c r="G32" s="35">
        <f>IF(G$5="Actual",SUMIFS(Outflows!$L$7:$L$163,Outflows!$H$7:$H$163,$A32,Outflows!$M$7:$M$163,G$6),IF($A32="Sales VAT",SUM(G$8:G$12)*Inputs!$B$7/(1+Inputs!$B$7),IF(AND(G$6&gt;=$E32,G$6&lt;=$F32,Budget!$M22&gt;0),$D32/Budget!$M22,0)))</f>
        <v>0</v>
      </c>
      <c r="H32" s="35">
        <f>IF(H$5="Actual",SUMIFS(Outflows!$L$7:$L$163,Outflows!$H$7:$H$163,$A32,Outflows!$M$7:$M$163,H$6),IF($A32="Sales VAT",SUM(H$8:H$12)*Inputs!$B$7/(1+Inputs!$B$7),IF(AND(H$6&gt;=$E32,H$6&lt;=$F32,Budget!$M22&gt;0),$D32/Budget!$M22,0)))</f>
        <v>0</v>
      </c>
      <c r="I32" s="35">
        <f>IF(I$5="Actual",SUMIFS(Outflows!$L$7:$L$163,Outflows!$H$7:$H$163,$A32,Outflows!$M$7:$M$163,I$6),IF($A32="Sales VAT",SUM(I$8:I$12)*Inputs!$B$7/(1+Inputs!$B$7),IF(AND(I$6&gt;=$E32,I$6&lt;=$F32,Budget!$M22&gt;0),$D32/Budget!$M22,0)))</f>
        <v>0</v>
      </c>
      <c r="J32" s="35">
        <f>IF(J$5="Actual",SUMIFS(Outflows!$L$7:$L$163,Outflows!$H$7:$H$163,$A32,Outflows!$M$7:$M$163,J$6),IF($A32="Sales VAT",SUM(J$8:J$12)*Inputs!$B$7/(1+Inputs!$B$7),IF(AND(J$6&gt;=$E32,J$6&lt;=$F32,Budget!$M22&gt;0),$D32/Budget!$M22,0)))</f>
        <v>0</v>
      </c>
      <c r="K32" s="35">
        <f>IF(K$5="Actual",SUMIFS(Outflows!$L$7:$L$163,Outflows!$H$7:$H$163,$A32,Outflows!$M$7:$M$163,K$6),IF($A32="Sales VAT",SUM(K$8:K$12)*Inputs!$B$7/(1+Inputs!$B$7),IF(AND(K$6&gt;=$E32,K$6&lt;=$F32,Budget!$M22&gt;0),$D32/Budget!$M22,0)))</f>
        <v>0</v>
      </c>
      <c r="L32" s="35">
        <f>IF(L$5="Actual",SUMIFS(Outflows!$L$7:$L$163,Outflows!$H$7:$H$163,$A32,Outflows!$M$7:$M$163,L$6),IF($A32="Sales VAT",SUM(L$8:L$12)*Inputs!$B$7/(1+Inputs!$B$7),IF(AND(L$6&gt;=$E32,L$6&lt;=$F32,Budget!$M22&gt;0),$D32/Budget!$M22,0)))</f>
        <v>0</v>
      </c>
      <c r="M32" s="35">
        <f>IF(M$5="Actual",SUMIFS(Outflows!$L$7:$L$163,Outflows!$H$7:$H$163,$A32,Outflows!$M$7:$M$163,M$6),IF($A32="Sales VAT",SUM(M$8:M$12)*Inputs!$B$7/(1+Inputs!$B$7),IF(AND(M$6&gt;=$E32,M$6&lt;=$F32,Budget!$M22&gt;0),$D32/Budget!$M22,0)))</f>
        <v>0</v>
      </c>
      <c r="N32" s="35">
        <f>IF(N$5="Actual",SUMIFS(Outflows!$L$7:$L$163,Outflows!$H$7:$H$163,$A32,Outflows!$M$7:$M$163,N$6),IF($A32="Sales VAT",SUM(N$8:N$12)*Inputs!$B$7/(1+Inputs!$B$7),IF(AND(N$6&gt;=$E32,N$6&lt;=$F32,Budget!$M22&gt;0),$D32/Budget!$M22,0)))</f>
        <v>0</v>
      </c>
      <c r="O32" s="35">
        <f>IF(O$5="Actual",SUMIFS(Outflows!$L$7:$L$163,Outflows!$H$7:$H$163,$A32,Outflows!$M$7:$M$163,O$6),IF($A32="Sales VAT",SUM(O$8:O$12)*Inputs!$B$7/(1+Inputs!$B$7),IF(AND(O$6&gt;=$E32,O$6&lt;=$F32,Budget!$M22&gt;0),$D32/Budget!$M22,0)))</f>
        <v>0</v>
      </c>
      <c r="P32" s="35">
        <f>IF(P$5="Actual",SUMIFS(Outflows!$L$7:$L$163,Outflows!$H$7:$H$163,$A32,Outflows!$M$7:$M$163,P$6),IF($A32="Sales VAT",SUM(P$8:P$12)*Inputs!$B$7/(1+Inputs!$B$7),IF(AND(P$6&gt;=$E32,P$6&lt;=$F32,Budget!$M22&gt;0),$D32/Budget!$M22,0)))</f>
        <v>0</v>
      </c>
      <c r="Q32" s="35">
        <f>IF(Q$5="Actual",SUMIFS(Outflows!$L$7:$L$163,Outflows!$H$7:$H$163,$A32,Outflows!$M$7:$M$163,Q$6),IF($A32="Sales VAT",SUM(Q$8:Q$12)*Inputs!$B$7/(1+Inputs!$B$7),IF(AND(Q$6&gt;=$E32,Q$6&lt;=$F32,Budget!$M22&gt;0),$D32/Budget!$M22,0)))</f>
        <v>0</v>
      </c>
      <c r="R32" s="35">
        <f>IF(R$5="Actual",SUMIFS(Outflows!$L$7:$L$163,Outflows!$H$7:$H$163,$A32,Outflows!$M$7:$M$163,R$6),IF($A32="Sales VAT",SUM(R$8:R$12)*Inputs!$B$7/(1+Inputs!$B$7),IF(AND(R$6&gt;=$E32,R$6&lt;=$F32,Budget!$M22&gt;0),$D32/Budget!$M22,0)))</f>
        <v>0</v>
      </c>
      <c r="S32" s="35">
        <f>IF(S$5="Actual",SUMIFS(Outflows!$L$7:$L$163,Outflows!$H$7:$H$163,$A32,Outflows!$M$7:$M$163,S$6),IF($A32="Sales VAT",SUM(S$8:S$12)*Inputs!$B$7/(1+Inputs!$B$7),IF(AND(S$6&gt;=$E32,S$6&lt;=$F32,Budget!$M22&gt;0),$D32/Budget!$M22,0)))</f>
        <v>0</v>
      </c>
      <c r="T32" s="35">
        <f>IF(T$5="Actual",SUMIFS(Outflows!$L$7:$L$163,Outflows!$H$7:$H$163,$A32,Outflows!$M$7:$M$163,T$6),IF($A32="Sales VAT",SUM(T$8:T$12)*Inputs!$B$7/(1+Inputs!$B$7),IF(AND(T$6&gt;=$E32,T$6&lt;=$F32,Budget!$M22&gt;0),$D32/Budget!$M22,0)))</f>
        <v>0</v>
      </c>
      <c r="U32" s="35">
        <f>IF(U$5="Actual",SUMIFS(Outflows!$L$7:$L$163,Outflows!$H$7:$H$163,$A32,Outflows!$M$7:$M$163,U$6),IF($A32="Sales VAT",SUM(U$8:U$12)*Inputs!$B$7/(1+Inputs!$B$7),IF(AND(U$6&gt;=$E32,U$6&lt;=$F32,Budget!$M22&gt;0),$D32/Budget!$M22,0)))</f>
        <v>0</v>
      </c>
      <c r="V32" s="35">
        <f>IF(V$5="Actual",SUMIFS(Outflows!$L$7:$L$163,Outflows!$H$7:$H$163,$A32,Outflows!$M$7:$M$163,V$6),IF($A32="Sales VAT",SUM(V$8:V$12)*Inputs!$B$7/(1+Inputs!$B$7),IF(AND(V$6&gt;=$E32,V$6&lt;=$F32,Budget!$M22&gt;0),$D32/Budget!$M22,0)))</f>
        <v>0</v>
      </c>
      <c r="W32" s="35">
        <f>IF(W$5="Actual",SUMIFS(Outflows!$L$7:$L$163,Outflows!$H$7:$H$163,$A32,Outflows!$M$7:$M$163,W$6),IF($A32="Sales VAT",SUM(W$8:W$12)*Inputs!$B$7/(1+Inputs!$B$7),IF(AND(W$6&gt;=$E32,W$6&lt;=$F32,Budget!$M22&gt;0),$D32/Budget!$M22,0)))</f>
        <v>0</v>
      </c>
      <c r="X32" s="35">
        <f>IF(X$5="Actual",SUMIFS(Outflows!$L$7:$L$163,Outflows!$H$7:$H$163,$A32,Outflows!$M$7:$M$163,X$6),IF($A32="Sales VAT",SUM(X$8:X$12)*Inputs!$B$7/(1+Inputs!$B$7),IF(AND(X$6&gt;=$E32,X$6&lt;=$F32,Budget!$M22&gt;0),$D32/Budget!$M22,0)))</f>
        <v>40000</v>
      </c>
      <c r="Y32" s="35">
        <f>IF(Y$5="Actual",SUMIFS(Outflows!$L$7:$L$163,Outflows!$H$7:$H$163,$A32,Outflows!$M$7:$M$163,Y$6),IF($A32="Sales VAT",SUM(Y$8:Y$12)*Inputs!$B$7/(1+Inputs!$B$7),IF(AND(Y$6&gt;=$E32,Y$6&lt;=$F32,Budget!$M22&gt;0),$D32/Budget!$M22,0)))</f>
        <v>0</v>
      </c>
      <c r="Z32" s="35">
        <f>IF(Z$5="Actual",SUMIFS(Outflows!$L$7:$L$163,Outflows!$H$7:$H$163,$A32,Outflows!$M$7:$M$163,Z$6),IF($A32="Sales VAT",SUM(Z$8:Z$12)*Inputs!$B$7/(1+Inputs!$B$7),IF(AND(Z$6&gt;=$E32,Z$6&lt;=$F32,Budget!$M22&gt;0),$D32/Budget!$M22,0)))</f>
        <v>0</v>
      </c>
      <c r="AA32" s="35">
        <f>IF(AA$5="Actual",SUMIFS(Outflows!$L$7:$L$163,Outflows!$H$7:$H$163,$A32,Outflows!$M$7:$M$163,AA$6),IF($A32="Sales VAT",SUM(AA$8:AA$12)*Inputs!$B$7/(1+Inputs!$B$7),IF(AND(AA$6&gt;=$E32,AA$6&lt;=$F32,Budget!$M22&gt;0),$D32/Budget!$M22,0)))</f>
        <v>0</v>
      </c>
      <c r="AB32" s="35">
        <f>IF(AB$5="Actual",SUMIFS(Outflows!$L$7:$L$163,Outflows!$H$7:$H$163,$A32,Outflows!$M$7:$M$163,AB$6),IF($A32="Sales VAT",SUM(AB$8:AB$12)*Inputs!$B$7/(1+Inputs!$B$7),IF(AND(AB$6&gt;=$E32,AB$6&lt;=$F32,Budget!$M22&gt;0),$D32/Budget!$M22,0)))</f>
        <v>0</v>
      </c>
      <c r="AC32" s="35">
        <f>IF(AC$5="Actual",SUMIFS(Outflows!$L$7:$L$163,Outflows!$H$7:$H$163,$A32,Outflows!$M$7:$M$163,AC$6),IF($A32="Sales VAT",SUM(AC$8:AC$12)*Inputs!$B$7/(1+Inputs!$B$7),IF(AND(AC$6&gt;=$E32,AC$6&lt;=$F32,Budget!$M22&gt;0),$D32/Budget!$M22,0)))</f>
        <v>0</v>
      </c>
      <c r="AD32" s="35">
        <f>IF(AD$5="Actual",SUMIFS(Outflows!$L$7:$L$163,Outflows!$H$7:$H$163,$A32,Outflows!$M$7:$M$163,AD$6),IF($A32="Sales VAT",SUM(AD$8:AD$12)*Inputs!$B$7/(1+Inputs!$B$7),IF(AND(AD$6&gt;=$E32,AD$6&lt;=$F32,Budget!$M22&gt;0),$D32/Budget!$M22,0)))</f>
        <v>0</v>
      </c>
      <c r="AE32" s="35">
        <f>IF(AE$5="Actual",SUMIFS(Outflows!$L$7:$L$163,Outflows!$H$7:$H$163,$A32,Outflows!$M$7:$M$163,AE$6),IF($A32="Sales VAT",SUM(AE$8:AE$12)*Inputs!$B$7/(1+Inputs!$B$7),IF(AND(AE$6&gt;=$E32,AE$6&lt;=$F32,Budget!$M22&gt;0),$D32/Budget!$M22,0)))</f>
        <v>0</v>
      </c>
      <c r="AF32" s="35">
        <f>IF(AF$5="Actual",SUMIFS(Outflows!$L$7:$L$163,Outflows!$H$7:$H$163,$A32,Outflows!$M$7:$M$163,AF$6),IF($A32="Sales VAT",SUM(AF$8:AF$12)*Inputs!$B$7/(1+Inputs!$B$7),IF(AND(AF$6&gt;=$E32,AF$6&lt;=$F32,Budget!$M22&gt;0),$D32/Budget!$M22,0)))</f>
        <v>0</v>
      </c>
      <c r="AG32" s="35">
        <f>IF(AG$5="Actual",SUMIFS(Outflows!$L$7:$L$163,Outflows!$H$7:$H$163,$A32,Outflows!$M$7:$M$163,AG$6),IF($A32="Sales VAT",SUM(AG$8:AG$12)*Inputs!$B$7/(1+Inputs!$B$7),IF(AND(AG$6&gt;=$E32,AG$6&lt;=$F32,Budget!$M22&gt;0),$D32/Budget!$M22,0)))</f>
        <v>0</v>
      </c>
      <c r="AH32" s="35">
        <f>IF(AH$5="Actual",SUMIFS(Outflows!$L$7:$L$163,Outflows!$H$7:$H$163,$A32,Outflows!$M$7:$M$163,AH$6),IF($A32="Sales VAT",SUM(AH$8:AH$12)*Inputs!$B$7/(1+Inputs!$B$7),IF(AND(AH$6&gt;=$E32,AH$6&lt;=$F32,Budget!$M22&gt;0),$D32/Budget!$M22,0)))</f>
        <v>0</v>
      </c>
      <c r="AI32" s="35">
        <f>IF(AI$5="Actual",SUMIFS(Outflows!$L$7:$L$163,Outflows!$H$7:$H$163,$A32,Outflows!$M$7:$M$163,AI$6),IF($A32="Sales VAT",SUM(AI$8:AI$12)*Inputs!$B$7/(1+Inputs!$B$7),IF(AND(AI$6&gt;=$E32,AI$6&lt;=$F32,Budget!$M22&gt;0),$D32/Budget!$M22,0)))</f>
        <v>0</v>
      </c>
      <c r="AJ32" s="35">
        <f>IF(AJ$5="Actual",SUMIFS(Outflows!$L$7:$L$163,Outflows!$H$7:$H$163,$A32,Outflows!$M$7:$M$163,AJ$6),IF($A32="Sales VAT",SUM(AJ$8:AJ$12)*Inputs!$B$7/(1+Inputs!$B$7),IF(AND(AJ$6&gt;=$E32,AJ$6&lt;=$F32,Budget!$M22&gt;0),$D32/Budget!$M22,0)))</f>
        <v>0</v>
      </c>
      <c r="AK32" s="35">
        <f>IF(AK$5="Actual",SUMIFS(Outflows!$L$7:$L$163,Outflows!$H$7:$H$163,$A32,Outflows!$M$7:$M$163,AK$6),IF($A32="Sales VAT",SUM(AK$8:AK$12)*Inputs!$B$7/(1+Inputs!$B$7),IF(AND(AK$6&gt;=$E32,AK$6&lt;=$F32,Budget!$M22&gt;0),$D32/Budget!$M22,0)))</f>
        <v>0</v>
      </c>
      <c r="AL32" s="35">
        <f>IF(AL$5="Actual",SUMIFS(Outflows!$L$7:$L$163,Outflows!$H$7:$H$163,$A32,Outflows!$M$7:$M$163,AL$6),IF($A32="Sales VAT",SUM(AL$8:AL$12)*Inputs!$B$7/(1+Inputs!$B$7),IF(AND(AL$6&gt;=$E32,AL$6&lt;=$F32,Budget!$M22&gt;0),$D32/Budget!$M22,0)))</f>
        <v>0</v>
      </c>
      <c r="AM32" s="35">
        <f>IF(AM$5="Actual",SUMIFS(Outflows!$L$7:$L$163,Outflows!$H$7:$H$163,$A32,Outflows!$M$7:$M$163,AM$6),IF($A32="Sales VAT",SUM(AM$8:AM$12)*Inputs!$B$7/(1+Inputs!$B$7),IF(AND(AM$6&gt;=$E32,AM$6&lt;=$F32,Budget!$M22&gt;0),$D32/Budget!$M22,0)))</f>
        <v>0</v>
      </c>
      <c r="AN32" s="35">
        <f>IF(AN$5="Actual",SUMIFS(Outflows!$L$7:$L$163,Outflows!$H$7:$H$163,$A32,Outflows!$M$7:$M$163,AN$6),IF($A32="Sales VAT",SUM(AN$8:AN$12)*Inputs!$B$7/(1+Inputs!$B$7),IF(AND(AN$6&gt;=$E32,AN$6&lt;=$F32,Budget!$M22&gt;0),$D32/Budget!$M22,0)))</f>
        <v>0</v>
      </c>
      <c r="AO32" s="35">
        <f>IF(AO$5="Actual",SUMIFS(Outflows!$L$7:$L$163,Outflows!$H$7:$H$163,$A32,Outflows!$M$7:$M$163,AO$6),IF($A32="Sales VAT",SUM(AO$8:AO$12)*Inputs!$B$7/(1+Inputs!$B$7),IF(AND(AO$6&gt;=$E32,AO$6&lt;=$F32,Budget!$M22&gt;0),$D32/Budget!$M22,0)))</f>
        <v>0</v>
      </c>
      <c r="AP32" s="35">
        <f>IF(AP$5="Actual",SUMIFS(Outflows!$L$7:$L$163,Outflows!$H$7:$H$163,$A32,Outflows!$M$7:$M$163,AP$6),IF($A32="Sales VAT",SUM(AP$8:AP$12)*Inputs!$B$7/(1+Inputs!$B$7),IF(AND(AP$6&gt;=$E32,AP$6&lt;=$F32,Budget!$M22&gt;0),$D32/Budget!$M22,0)))</f>
        <v>0</v>
      </c>
      <c r="AQ32" s="35">
        <f>IF(AQ$5="Actual",SUMIFS(Outflows!$L$7:$L$163,Outflows!$H$7:$H$163,$A32,Outflows!$M$7:$M$163,AQ$6),IF($A32="Sales VAT",SUM(AQ$8:AQ$12)*Inputs!$B$7/(1+Inputs!$B$7),IF(AND(AQ$6&gt;=$E32,AQ$6&lt;=$F32,Budget!$M22&gt;0),$D32/Budget!$M22,0)))</f>
        <v>0</v>
      </c>
      <c r="AR32" s="35">
        <f>IF(AR$5="Actual",SUMIFS(Outflows!$L$7:$L$163,Outflows!$H$7:$H$163,$A32,Outflows!$M$7:$M$163,AR$6),IF($A32="Sales VAT",SUM(AR$8:AR$12)*Inputs!$B$7/(1+Inputs!$B$7),IF(AND(AR$6&gt;=$E32,AR$6&lt;=$F32,Budget!$M22&gt;0),$D32/Budget!$M22,0)))</f>
        <v>0</v>
      </c>
      <c r="AS32" s="35">
        <f>IF(AS$5="Actual",SUMIFS(Outflows!$L$7:$L$163,Outflows!$H$7:$H$163,$A32,Outflows!$M$7:$M$163,AS$6),IF($A32="Sales VAT",SUM(AS$8:AS$12)*Inputs!$B$7/(1+Inputs!$B$7),IF(AND(AS$6&gt;=$E32,AS$6&lt;=$F32,Budget!$M22&gt;0),$D32/Budget!$M22,0)))</f>
        <v>0</v>
      </c>
      <c r="AT32" s="35">
        <f>IF(AT$5="Actual",SUMIFS(Outflows!$L$7:$L$163,Outflows!$H$7:$H$163,$A32,Outflows!$M$7:$M$163,AT$6),IF($A32="Sales VAT",SUM(AT$8:AT$12)*Inputs!$B$7/(1+Inputs!$B$7),IF(AND(AT$6&gt;=$E32,AT$6&lt;=$F32,Budget!$M22&gt;0),$D32/Budget!$M22,0)))</f>
        <v>0</v>
      </c>
      <c r="AU32" s="35">
        <f>IF(AU$5="Actual",SUMIFS(Outflows!$L$7:$L$163,Outflows!$H$7:$H$163,$A32,Outflows!$M$7:$M$163,AU$6),IF($A32="Sales VAT",SUM(AU$8:AU$12)*Inputs!$B$7/(1+Inputs!$B$7),IF(AND(AU$6&gt;=$E32,AU$6&lt;=$F32,Budget!$M22&gt;0),$D32/Budget!$M22,0)))</f>
        <v>0</v>
      </c>
      <c r="AV32" s="35">
        <f>IF(AV$5="Actual",SUMIFS(Outflows!$L$7:$L$163,Outflows!$H$7:$H$163,$A32,Outflows!$M$7:$M$163,AV$6),IF($A32="Sales VAT",SUM(AV$8:AV$12)*Inputs!$B$7/(1+Inputs!$B$7),IF(AND(AV$6&gt;=$E32,AV$6&lt;=$F32,Budget!$M22&gt;0),$D32/Budget!$M22,0)))</f>
        <v>0</v>
      </c>
      <c r="AW32" s="35">
        <f>IF(AW$5="Actual",SUMIFS(Outflows!$L$7:$L$163,Outflows!$H$7:$H$163,$A32,Outflows!$M$7:$M$163,AW$6),IF($A32="Sales VAT",SUM(AW$8:AW$12)*Inputs!$B$7/(1+Inputs!$B$7),IF(AND(AW$6&gt;=$E32,AW$6&lt;=$F32,Budget!$M22&gt;0),$D32/Budget!$M22,0)))</f>
        <v>0</v>
      </c>
      <c r="AX32" s="35">
        <f>IF(AX$5="Actual",SUMIFS(Outflows!$L$7:$L$163,Outflows!$H$7:$H$163,$A32,Outflows!$M$7:$M$163,AX$6),IF($A32="Sales VAT",SUM(AX$8:AX$12)*Inputs!$B$7/(1+Inputs!$B$7),IF(AND(AX$6&gt;=$E32,AX$6&lt;=$F32,Budget!$M22&gt;0),$D32/Budget!$M22,0)))</f>
        <v>0</v>
      </c>
      <c r="AY32" s="35">
        <f>IF(AY$5="Actual",SUMIFS(Outflows!$L$7:$L$163,Outflows!$H$7:$H$163,$A32,Outflows!$M$7:$M$163,AY$6),IF($A32="Sales VAT",SUM(AY$8:AY$12)*Inputs!$B$7/(1+Inputs!$B$7),IF(AND(AY$6&gt;=$E32,AY$6&lt;=$F32,Budget!$M22&gt;0),$D32/Budget!$M22,0)))</f>
        <v>0</v>
      </c>
      <c r="AZ32" s="35">
        <f>IF(AZ$5="Actual",SUMIFS(Outflows!$L$7:$L$163,Outflows!$H$7:$H$163,$A32,Outflows!$M$7:$M$163,AZ$6),IF($A32="Sales VAT",SUM(AZ$8:AZ$12)*Inputs!$B$7/(1+Inputs!$B$7),IF(AND(AZ$6&gt;=$E32,AZ$6&lt;=$F32,Budget!$M22&gt;0),$D32/Budget!$M22,0)))</f>
        <v>0</v>
      </c>
      <c r="BA32" s="35">
        <f>IF(BA$5="Actual",SUMIFS(Outflows!$L$7:$L$163,Outflows!$H$7:$H$163,$A32,Outflows!$M$7:$M$163,BA$6),IF($A32="Sales VAT",SUM(BA$8:BA$12)*Inputs!$B$7/(1+Inputs!$B$7),IF(AND(BA$6&gt;=$E32,BA$6&lt;=$F32,Budget!$M22&gt;0),$D32/Budget!$M22,0)))</f>
        <v>0</v>
      </c>
    </row>
    <row r="33" spans="1:53">
      <c r="A33" s="6" t="str">
        <f>Budget!C23</f>
        <v>Land Survey</v>
      </c>
      <c r="B33" s="35">
        <f>Budget!G23</f>
        <v>11237.98</v>
      </c>
      <c r="C33" s="35">
        <f>Budget!H23</f>
        <v>273.33333333333331</v>
      </c>
      <c r="D33" s="35">
        <f>Budget!I23</f>
        <v>10964.646666666666</v>
      </c>
      <c r="E33" s="61">
        <f>Budget!K23</f>
        <v>45292</v>
      </c>
      <c r="F33" s="61">
        <f>Budget!L23</f>
        <v>45444</v>
      </c>
      <c r="G33" s="35">
        <f>IF(G$5="Actual",SUMIFS(Outflows!$L$7:$L$163,Outflows!$H$7:$H$163,$A33,Outflows!$M$7:$M$163,G$6),IF($A33="Sales VAT",SUM(G$8:G$12)*Inputs!$B$7/(1+Inputs!$B$7),IF(AND(G$6&gt;=$E33,G$6&lt;=$F33,Budget!$M23&gt;0),$D33/Budget!$M23,0)))</f>
        <v>0</v>
      </c>
      <c r="H33" s="35">
        <f>IF(H$5="Actual",SUMIFS(Outflows!$L$7:$L$163,Outflows!$H$7:$H$163,$A33,Outflows!$M$7:$M$163,H$6),IF($A33="Sales VAT",SUM(H$8:H$12)*Inputs!$B$7/(1+Inputs!$B$7),IF(AND(H$6&gt;=$E33,H$6&lt;=$F33,Budget!$M23&gt;0),$D33/Budget!$M23,0)))</f>
        <v>0</v>
      </c>
      <c r="I33" s="35">
        <f>IF(I$5="Actual",SUMIFS(Outflows!$L$7:$L$163,Outflows!$H$7:$H$163,$A33,Outflows!$M$7:$M$163,I$6),IF($A33="Sales VAT",SUM(I$8:I$12)*Inputs!$B$7/(1+Inputs!$B$7),IF(AND(I$6&gt;=$E33,I$6&lt;=$F33,Budget!$M23&gt;0),$D33/Budget!$M23,0)))</f>
        <v>0</v>
      </c>
      <c r="J33" s="35">
        <f>IF(J$5="Actual",SUMIFS(Outflows!$L$7:$L$163,Outflows!$H$7:$H$163,$A33,Outflows!$M$7:$M$163,J$6),IF($A33="Sales VAT",SUM(J$8:J$12)*Inputs!$B$7/(1+Inputs!$B$7),IF(AND(J$6&gt;=$E33,J$6&lt;=$F33,Budget!$M23&gt;0),$D33/Budget!$M23,0)))</f>
        <v>0</v>
      </c>
      <c r="K33" s="35">
        <f>IF(K$5="Actual",SUMIFS(Outflows!$L$7:$L$163,Outflows!$H$7:$H$163,$A33,Outflows!$M$7:$M$163,K$6),IF($A33="Sales VAT",SUM(K$8:K$12)*Inputs!$B$7/(1+Inputs!$B$7),IF(AND(K$6&gt;=$E33,K$6&lt;=$F33,Budget!$M23&gt;0),$D33/Budget!$M23,0)))</f>
        <v>0</v>
      </c>
      <c r="L33" s="35">
        <f>IF(L$5="Actual",SUMIFS(Outflows!$L$7:$L$163,Outflows!$H$7:$H$163,$A33,Outflows!$M$7:$M$163,L$6),IF($A33="Sales VAT",SUM(L$8:L$12)*Inputs!$B$7/(1+Inputs!$B$7),IF(AND(L$6&gt;=$E33,L$6&lt;=$F33,Budget!$M23&gt;0),$D33/Budget!$M23,0)))</f>
        <v>0</v>
      </c>
      <c r="M33" s="35">
        <f>IF(M$5="Actual",SUMIFS(Outflows!$L$7:$L$163,Outflows!$H$7:$H$163,$A33,Outflows!$M$7:$M$163,M$6),IF($A33="Sales VAT",SUM(M$8:M$12)*Inputs!$B$7/(1+Inputs!$B$7),IF(AND(M$6&gt;=$E33,M$6&lt;=$F33,Budget!$M23&gt;0),$D33/Budget!$M23,0)))</f>
        <v>0</v>
      </c>
      <c r="N33" s="35">
        <f>IF(N$5="Actual",SUMIFS(Outflows!$L$7:$L$163,Outflows!$H$7:$H$163,$A33,Outflows!$M$7:$M$163,N$6),IF($A33="Sales VAT",SUM(N$8:N$12)*Inputs!$B$7/(1+Inputs!$B$7),IF(AND(N$6&gt;=$E33,N$6&lt;=$F33,Budget!$M23&gt;0),$D33/Budget!$M23,0)))</f>
        <v>0</v>
      </c>
      <c r="O33" s="35">
        <f>IF(O$5="Actual",SUMIFS(Outflows!$L$7:$L$163,Outflows!$H$7:$H$163,$A33,Outflows!$M$7:$M$163,O$6),IF($A33="Sales VAT",SUM(O$8:O$12)*Inputs!$B$7/(1+Inputs!$B$7),IF(AND(O$6&gt;=$E33,O$6&lt;=$F33,Budget!$M23&gt;0),$D33/Budget!$M23,0)))</f>
        <v>0</v>
      </c>
      <c r="P33" s="35">
        <f>IF(P$5="Actual",SUMIFS(Outflows!$L$7:$L$163,Outflows!$H$7:$H$163,$A33,Outflows!$M$7:$M$163,P$6),IF($A33="Sales VAT",SUM(P$8:P$12)*Inputs!$B$7/(1+Inputs!$B$7),IF(AND(P$6&gt;=$E33,P$6&lt;=$F33,Budget!$M23&gt;0),$D33/Budget!$M23,0)))</f>
        <v>0</v>
      </c>
      <c r="Q33" s="35">
        <f>IF(Q$5="Actual",SUMIFS(Outflows!$L$7:$L$163,Outflows!$H$7:$H$163,$A33,Outflows!$M$7:$M$163,Q$6),IF($A33="Sales VAT",SUM(Q$8:Q$12)*Inputs!$B$7/(1+Inputs!$B$7),IF(AND(Q$6&gt;=$E33,Q$6&lt;=$F33,Budget!$M23&gt;0),$D33/Budget!$M23,0)))</f>
        <v>0</v>
      </c>
      <c r="R33" s="35">
        <f>IF(R$5="Actual",SUMIFS(Outflows!$L$7:$L$163,Outflows!$H$7:$H$163,$A33,Outflows!$M$7:$M$163,R$6),IF($A33="Sales VAT",SUM(R$8:R$12)*Inputs!$B$7/(1+Inputs!$B$7),IF(AND(R$6&gt;=$E33,R$6&lt;=$F33,Budget!$M23&gt;0),$D33/Budget!$M23,0)))</f>
        <v>0</v>
      </c>
      <c r="S33" s="35">
        <f>IF(S$5="Actual",SUMIFS(Outflows!$L$7:$L$163,Outflows!$H$7:$H$163,$A33,Outflows!$M$7:$M$163,S$6),IF($A33="Sales VAT",SUM(S$8:S$12)*Inputs!$B$7/(1+Inputs!$B$7),IF(AND(S$6&gt;=$E33,S$6&lt;=$F33,Budget!$M23&gt;0),$D33/Budget!$M23,0)))</f>
        <v>0</v>
      </c>
      <c r="T33" s="35">
        <f>IF(T$5="Actual",SUMIFS(Outflows!$L$7:$L$163,Outflows!$H$7:$H$163,$A33,Outflows!$M$7:$M$163,T$6),IF($A33="Sales VAT",SUM(T$8:T$12)*Inputs!$B$7/(1+Inputs!$B$7),IF(AND(T$6&gt;=$E33,T$6&lt;=$F33,Budget!$M23&gt;0),$D33/Budget!$M23,0)))</f>
        <v>0</v>
      </c>
      <c r="U33" s="35">
        <f>IF(U$5="Actual",SUMIFS(Outflows!$L$7:$L$163,Outflows!$H$7:$H$163,$A33,Outflows!$M$7:$M$163,U$6),IF($A33="Sales VAT",SUM(U$8:U$12)*Inputs!$B$7/(1+Inputs!$B$7),IF(AND(U$6&gt;=$E33,U$6&lt;=$F33,Budget!$M23&gt;0),$D33/Budget!$M23,0)))</f>
        <v>0</v>
      </c>
      <c r="V33" s="35">
        <f>IF(V$5="Actual",SUMIFS(Outflows!$L$7:$L$163,Outflows!$H$7:$H$163,$A33,Outflows!$M$7:$M$163,V$6),IF($A33="Sales VAT",SUM(V$8:V$12)*Inputs!$B$7/(1+Inputs!$B$7),IF(AND(V$6&gt;=$E33,V$6&lt;=$F33,Budget!$M23&gt;0),$D33/Budget!$M23,0)))</f>
        <v>0</v>
      </c>
      <c r="W33" s="35">
        <f>IF(W$5="Actual",SUMIFS(Outflows!$L$7:$L$163,Outflows!$H$7:$H$163,$A33,Outflows!$M$7:$M$163,W$6),IF($A33="Sales VAT",SUM(W$8:W$12)*Inputs!$B$7/(1+Inputs!$B$7),IF(AND(W$6&gt;=$E33,W$6&lt;=$F33,Budget!$M23&gt;0),$D33/Budget!$M23,0)))</f>
        <v>273.33333333333331</v>
      </c>
      <c r="X33" s="35">
        <f>IF(X$5="Actual",SUMIFS(Outflows!$L$7:$L$163,Outflows!$H$7:$H$163,$A33,Outflows!$M$7:$M$163,X$6),IF($A33="Sales VAT",SUM(X$8:X$12)*Inputs!$B$7/(1+Inputs!$B$7),IF(AND(X$6&gt;=$E33,X$6&lt;=$F33,Budget!$M23&gt;0),$D33/Budget!$M23,0)))</f>
        <v>0</v>
      </c>
      <c r="Y33" s="35">
        <f>IF(Y$5="Actual",SUMIFS(Outflows!$L$7:$L$163,Outflows!$H$7:$H$163,$A33,Outflows!$M$7:$M$163,Y$6),IF($A33="Sales VAT",SUM(Y$8:Y$12)*Inputs!$B$7/(1+Inputs!$B$7),IF(AND(Y$6&gt;=$E33,Y$6&lt;=$F33,Budget!$M23&gt;0),$D33/Budget!$M23,0)))</f>
        <v>0</v>
      </c>
      <c r="Z33" s="35">
        <f>IF(Z$5="Actual",SUMIFS(Outflows!$L$7:$L$163,Outflows!$H$7:$H$163,$A33,Outflows!$M$7:$M$163,Z$6),IF($A33="Sales VAT",SUM(Z$8:Z$12)*Inputs!$B$7/(1+Inputs!$B$7),IF(AND(Z$6&gt;=$E33,Z$6&lt;=$F33,Budget!$M23&gt;0),$D33/Budget!$M23,0)))</f>
        <v>0</v>
      </c>
      <c r="AA33" s="35">
        <f>IF(AA$5="Actual",SUMIFS(Outflows!$L$7:$L$163,Outflows!$H$7:$H$163,$A33,Outflows!$M$7:$M$163,AA$6),IF($A33="Sales VAT",SUM(AA$8:AA$12)*Inputs!$B$7/(1+Inputs!$B$7),IF(AND(AA$6&gt;=$E33,AA$6&lt;=$F33,Budget!$M23&gt;0),$D33/Budget!$M23,0)))</f>
        <v>0</v>
      </c>
      <c r="AB33" s="35">
        <f>IF(AB$5="Actual",SUMIFS(Outflows!$L$7:$L$163,Outflows!$H$7:$H$163,$A33,Outflows!$M$7:$M$163,AB$6),IF($A33="Sales VAT",SUM(AB$8:AB$12)*Inputs!$B$7/(1+Inputs!$B$7),IF(AND(AB$6&gt;=$E33,AB$6&lt;=$F33,Budget!$M23&gt;0),$D33/Budget!$M23,0)))</f>
        <v>0</v>
      </c>
      <c r="AC33" s="35">
        <f>IF(AC$5="Actual",SUMIFS(Outflows!$L$7:$L$163,Outflows!$H$7:$H$163,$A33,Outflows!$M$7:$M$163,AC$6),IF($A33="Sales VAT",SUM(AC$8:AC$12)*Inputs!$B$7/(1+Inputs!$B$7),IF(AND(AC$6&gt;=$E33,AC$6&lt;=$F33,Budget!$M23&gt;0),$D33/Budget!$M23,0)))</f>
        <v>0</v>
      </c>
      <c r="AD33" s="35">
        <f>IF(AD$5="Actual",SUMIFS(Outflows!$L$7:$L$163,Outflows!$H$7:$H$163,$A33,Outflows!$M$7:$M$163,AD$6),IF($A33="Sales VAT",SUM(AD$8:AD$12)*Inputs!$B$7/(1+Inputs!$B$7),IF(AND(AD$6&gt;=$E33,AD$6&lt;=$F33,Budget!$M23&gt;0),$D33/Budget!$M23,0)))</f>
        <v>1827.441111111111</v>
      </c>
      <c r="AE33" s="35">
        <f>IF(AE$5="Actual",SUMIFS(Outflows!$L$7:$L$163,Outflows!$H$7:$H$163,$A33,Outflows!$M$7:$M$163,AE$6),IF($A33="Sales VAT",SUM(AE$8:AE$12)*Inputs!$B$7/(1+Inputs!$B$7),IF(AND(AE$6&gt;=$E33,AE$6&lt;=$F33,Budget!$M23&gt;0),$D33/Budget!$M23,0)))</f>
        <v>1827.441111111111</v>
      </c>
      <c r="AF33" s="35">
        <f>IF(AF$5="Actual",SUMIFS(Outflows!$L$7:$L$163,Outflows!$H$7:$H$163,$A33,Outflows!$M$7:$M$163,AF$6),IF($A33="Sales VAT",SUM(AF$8:AF$12)*Inputs!$B$7/(1+Inputs!$B$7),IF(AND(AF$6&gt;=$E33,AF$6&lt;=$F33,Budget!$M23&gt;0),$D33/Budget!$M23,0)))</f>
        <v>1827.441111111111</v>
      </c>
      <c r="AG33" s="35">
        <f>IF(AG$5="Actual",SUMIFS(Outflows!$L$7:$L$163,Outflows!$H$7:$H$163,$A33,Outflows!$M$7:$M$163,AG$6),IF($A33="Sales VAT",SUM(AG$8:AG$12)*Inputs!$B$7/(1+Inputs!$B$7),IF(AND(AG$6&gt;=$E33,AG$6&lt;=$F33,Budget!$M23&gt;0),$D33/Budget!$M23,0)))</f>
        <v>1827.441111111111</v>
      </c>
      <c r="AH33" s="35">
        <f>IF(AH$5="Actual",SUMIFS(Outflows!$L$7:$L$163,Outflows!$H$7:$H$163,$A33,Outflows!$M$7:$M$163,AH$6),IF($A33="Sales VAT",SUM(AH$8:AH$12)*Inputs!$B$7/(1+Inputs!$B$7),IF(AND(AH$6&gt;=$E33,AH$6&lt;=$F33,Budget!$M23&gt;0),$D33/Budget!$M23,0)))</f>
        <v>1827.441111111111</v>
      </c>
      <c r="AI33" s="35">
        <f>IF(AI$5="Actual",SUMIFS(Outflows!$L$7:$L$163,Outflows!$H$7:$H$163,$A33,Outflows!$M$7:$M$163,AI$6),IF($A33="Sales VAT",SUM(AI$8:AI$12)*Inputs!$B$7/(1+Inputs!$B$7),IF(AND(AI$6&gt;=$E33,AI$6&lt;=$F33,Budget!$M23&gt;0),$D33/Budget!$M23,0)))</f>
        <v>1827.441111111111</v>
      </c>
      <c r="AJ33" s="35">
        <f>IF(AJ$5="Actual",SUMIFS(Outflows!$L$7:$L$163,Outflows!$H$7:$H$163,$A33,Outflows!$M$7:$M$163,AJ$6),IF($A33="Sales VAT",SUM(AJ$8:AJ$12)*Inputs!$B$7/(1+Inputs!$B$7),IF(AND(AJ$6&gt;=$E33,AJ$6&lt;=$F33,Budget!$M23&gt;0),$D33/Budget!$M23,0)))</f>
        <v>0</v>
      </c>
      <c r="AK33" s="35">
        <f>IF(AK$5="Actual",SUMIFS(Outflows!$L$7:$L$163,Outflows!$H$7:$H$163,$A33,Outflows!$M$7:$M$163,AK$6),IF($A33="Sales VAT",SUM(AK$8:AK$12)*Inputs!$B$7/(1+Inputs!$B$7),IF(AND(AK$6&gt;=$E33,AK$6&lt;=$F33,Budget!$M23&gt;0),$D33/Budget!$M23,0)))</f>
        <v>0</v>
      </c>
      <c r="AL33" s="35">
        <f>IF(AL$5="Actual",SUMIFS(Outflows!$L$7:$L$163,Outflows!$H$7:$H$163,$A33,Outflows!$M$7:$M$163,AL$6),IF($A33="Sales VAT",SUM(AL$8:AL$12)*Inputs!$B$7/(1+Inputs!$B$7),IF(AND(AL$6&gt;=$E33,AL$6&lt;=$F33,Budget!$M23&gt;0),$D33/Budget!$M23,0)))</f>
        <v>0</v>
      </c>
      <c r="AM33" s="35">
        <f>IF(AM$5="Actual",SUMIFS(Outflows!$L$7:$L$163,Outflows!$H$7:$H$163,$A33,Outflows!$M$7:$M$163,AM$6),IF($A33="Sales VAT",SUM(AM$8:AM$12)*Inputs!$B$7/(1+Inputs!$B$7),IF(AND(AM$6&gt;=$E33,AM$6&lt;=$F33,Budget!$M23&gt;0),$D33/Budget!$M23,0)))</f>
        <v>0</v>
      </c>
      <c r="AN33" s="35">
        <f>IF(AN$5="Actual",SUMIFS(Outflows!$L$7:$L$163,Outflows!$H$7:$H$163,$A33,Outflows!$M$7:$M$163,AN$6),IF($A33="Sales VAT",SUM(AN$8:AN$12)*Inputs!$B$7/(1+Inputs!$B$7),IF(AND(AN$6&gt;=$E33,AN$6&lt;=$F33,Budget!$M23&gt;0),$D33/Budget!$M23,0)))</f>
        <v>0</v>
      </c>
      <c r="AO33" s="35">
        <f>IF(AO$5="Actual",SUMIFS(Outflows!$L$7:$L$163,Outflows!$H$7:$H$163,$A33,Outflows!$M$7:$M$163,AO$6),IF($A33="Sales VAT",SUM(AO$8:AO$12)*Inputs!$B$7/(1+Inputs!$B$7),IF(AND(AO$6&gt;=$E33,AO$6&lt;=$F33,Budget!$M23&gt;0),$D33/Budget!$M23,0)))</f>
        <v>0</v>
      </c>
      <c r="AP33" s="35">
        <f>IF(AP$5="Actual",SUMIFS(Outflows!$L$7:$L$163,Outflows!$H$7:$H$163,$A33,Outflows!$M$7:$M$163,AP$6),IF($A33="Sales VAT",SUM(AP$8:AP$12)*Inputs!$B$7/(1+Inputs!$B$7),IF(AND(AP$6&gt;=$E33,AP$6&lt;=$F33,Budget!$M23&gt;0),$D33/Budget!$M23,0)))</f>
        <v>0</v>
      </c>
      <c r="AQ33" s="35">
        <f>IF(AQ$5="Actual",SUMIFS(Outflows!$L$7:$L$163,Outflows!$H$7:$H$163,$A33,Outflows!$M$7:$M$163,AQ$6),IF($A33="Sales VAT",SUM(AQ$8:AQ$12)*Inputs!$B$7/(1+Inputs!$B$7),IF(AND(AQ$6&gt;=$E33,AQ$6&lt;=$F33,Budget!$M23&gt;0),$D33/Budget!$M23,0)))</f>
        <v>0</v>
      </c>
      <c r="AR33" s="35">
        <f>IF(AR$5="Actual",SUMIFS(Outflows!$L$7:$L$163,Outflows!$H$7:$H$163,$A33,Outflows!$M$7:$M$163,AR$6),IF($A33="Sales VAT",SUM(AR$8:AR$12)*Inputs!$B$7/(1+Inputs!$B$7),IF(AND(AR$6&gt;=$E33,AR$6&lt;=$F33,Budget!$M23&gt;0),$D33/Budget!$M23,0)))</f>
        <v>0</v>
      </c>
      <c r="AS33" s="35">
        <f>IF(AS$5="Actual",SUMIFS(Outflows!$L$7:$L$163,Outflows!$H$7:$H$163,$A33,Outflows!$M$7:$M$163,AS$6),IF($A33="Sales VAT",SUM(AS$8:AS$12)*Inputs!$B$7/(1+Inputs!$B$7),IF(AND(AS$6&gt;=$E33,AS$6&lt;=$F33,Budget!$M23&gt;0),$D33/Budget!$M23,0)))</f>
        <v>0</v>
      </c>
      <c r="AT33" s="35">
        <f>IF(AT$5="Actual",SUMIFS(Outflows!$L$7:$L$163,Outflows!$H$7:$H$163,$A33,Outflows!$M$7:$M$163,AT$6),IF($A33="Sales VAT",SUM(AT$8:AT$12)*Inputs!$B$7/(1+Inputs!$B$7),IF(AND(AT$6&gt;=$E33,AT$6&lt;=$F33,Budget!$M23&gt;0),$D33/Budget!$M23,0)))</f>
        <v>0</v>
      </c>
      <c r="AU33" s="35">
        <f>IF(AU$5="Actual",SUMIFS(Outflows!$L$7:$L$163,Outflows!$H$7:$H$163,$A33,Outflows!$M$7:$M$163,AU$6),IF($A33="Sales VAT",SUM(AU$8:AU$12)*Inputs!$B$7/(1+Inputs!$B$7),IF(AND(AU$6&gt;=$E33,AU$6&lt;=$F33,Budget!$M23&gt;0),$D33/Budget!$M23,0)))</f>
        <v>0</v>
      </c>
      <c r="AV33" s="35">
        <f>IF(AV$5="Actual",SUMIFS(Outflows!$L$7:$L$163,Outflows!$H$7:$H$163,$A33,Outflows!$M$7:$M$163,AV$6),IF($A33="Sales VAT",SUM(AV$8:AV$12)*Inputs!$B$7/(1+Inputs!$B$7),IF(AND(AV$6&gt;=$E33,AV$6&lt;=$F33,Budget!$M23&gt;0),$D33/Budget!$M23,0)))</f>
        <v>0</v>
      </c>
      <c r="AW33" s="35">
        <f>IF(AW$5="Actual",SUMIFS(Outflows!$L$7:$L$163,Outflows!$H$7:$H$163,$A33,Outflows!$M$7:$M$163,AW$6),IF($A33="Sales VAT",SUM(AW$8:AW$12)*Inputs!$B$7/(1+Inputs!$B$7),IF(AND(AW$6&gt;=$E33,AW$6&lt;=$F33,Budget!$M23&gt;0),$D33/Budget!$M23,0)))</f>
        <v>0</v>
      </c>
      <c r="AX33" s="35">
        <f>IF(AX$5="Actual",SUMIFS(Outflows!$L$7:$L$163,Outflows!$H$7:$H$163,$A33,Outflows!$M$7:$M$163,AX$6),IF($A33="Sales VAT",SUM(AX$8:AX$12)*Inputs!$B$7/(1+Inputs!$B$7),IF(AND(AX$6&gt;=$E33,AX$6&lt;=$F33,Budget!$M23&gt;0),$D33/Budget!$M23,0)))</f>
        <v>0</v>
      </c>
      <c r="AY33" s="35">
        <f>IF(AY$5="Actual",SUMIFS(Outflows!$L$7:$L$163,Outflows!$H$7:$H$163,$A33,Outflows!$M$7:$M$163,AY$6),IF($A33="Sales VAT",SUM(AY$8:AY$12)*Inputs!$B$7/(1+Inputs!$B$7),IF(AND(AY$6&gt;=$E33,AY$6&lt;=$F33,Budget!$M23&gt;0),$D33/Budget!$M23,0)))</f>
        <v>0</v>
      </c>
      <c r="AZ33" s="35">
        <f>IF(AZ$5="Actual",SUMIFS(Outflows!$L$7:$L$163,Outflows!$H$7:$H$163,$A33,Outflows!$M$7:$M$163,AZ$6),IF($A33="Sales VAT",SUM(AZ$8:AZ$12)*Inputs!$B$7/(1+Inputs!$B$7),IF(AND(AZ$6&gt;=$E33,AZ$6&lt;=$F33,Budget!$M23&gt;0),$D33/Budget!$M23,0)))</f>
        <v>0</v>
      </c>
      <c r="BA33" s="35">
        <f>IF(BA$5="Actual",SUMIFS(Outflows!$L$7:$L$163,Outflows!$H$7:$H$163,$A33,Outflows!$M$7:$M$163,BA$6),IF($A33="Sales VAT",SUM(BA$8:BA$12)*Inputs!$B$7/(1+Inputs!$B$7),IF(AND(BA$6&gt;=$E33,BA$6&lt;=$F33,Budget!$M23&gt;0),$D33/Budget!$M23,0)))</f>
        <v>0</v>
      </c>
    </row>
    <row r="34" spans="1:53">
      <c r="A34" s="6" t="str">
        <f>Budget!C24</f>
        <v>Soil Test</v>
      </c>
      <c r="B34" s="35">
        <f>Budget!G24</f>
        <v>30850.6</v>
      </c>
      <c r="C34" s="35">
        <f>Budget!H24</f>
        <v>12118.86866570643</v>
      </c>
      <c r="D34" s="35">
        <f>Budget!I24</f>
        <v>18731.731334293567</v>
      </c>
      <c r="E34" s="61">
        <f>Budget!K24</f>
        <v>45292</v>
      </c>
      <c r="F34" s="61">
        <f>Budget!L24</f>
        <v>45444</v>
      </c>
      <c r="G34" s="35">
        <f>IF(G$5="Actual",SUMIFS(Outflows!$L$7:$L$163,Outflows!$H$7:$H$163,$A34,Outflows!$M$7:$M$163,G$6),IF($A34="Sales VAT",SUM(G$8:G$12)*Inputs!$B$7/(1+Inputs!$B$7),IF(AND(G$6&gt;=$E34,G$6&lt;=$F34,Budget!$M24&gt;0),$D34/Budget!$M24,0)))</f>
        <v>0</v>
      </c>
      <c r="H34" s="35">
        <f>IF(H$5="Actual",SUMIFS(Outflows!$L$7:$L$163,Outflows!$H$7:$H$163,$A34,Outflows!$M$7:$M$163,H$6),IF($A34="Sales VAT",SUM(H$8:H$12)*Inputs!$B$7/(1+Inputs!$B$7),IF(AND(H$6&gt;=$E34,H$6&lt;=$F34,Budget!$M24&gt;0),$D34/Budget!$M24,0)))</f>
        <v>0</v>
      </c>
      <c r="I34" s="35">
        <f>IF(I$5="Actual",SUMIFS(Outflows!$L$7:$L$163,Outflows!$H$7:$H$163,$A34,Outflows!$M$7:$M$163,I$6),IF($A34="Sales VAT",SUM(I$8:I$12)*Inputs!$B$7/(1+Inputs!$B$7),IF(AND(I$6&gt;=$E34,I$6&lt;=$F34,Budget!$M24&gt;0),$D34/Budget!$M24,0)))</f>
        <v>0</v>
      </c>
      <c r="J34" s="35">
        <f>IF(J$5="Actual",SUMIFS(Outflows!$L$7:$L$163,Outflows!$H$7:$H$163,$A34,Outflows!$M$7:$M$163,J$6),IF($A34="Sales VAT",SUM(J$8:J$12)*Inputs!$B$7/(1+Inputs!$B$7),IF(AND(J$6&gt;=$E34,J$6&lt;=$F34,Budget!$M24&gt;0),$D34/Budget!$M24,0)))</f>
        <v>0</v>
      </c>
      <c r="K34" s="35">
        <f>IF(K$5="Actual",SUMIFS(Outflows!$L$7:$L$163,Outflows!$H$7:$H$163,$A34,Outflows!$M$7:$M$163,K$6),IF($A34="Sales VAT",SUM(K$8:K$12)*Inputs!$B$7/(1+Inputs!$B$7),IF(AND(K$6&gt;=$E34,K$6&lt;=$F34,Budget!$M24&gt;0),$D34/Budget!$M24,0)))</f>
        <v>0</v>
      </c>
      <c r="L34" s="35">
        <f>IF(L$5="Actual",SUMIFS(Outflows!$L$7:$L$163,Outflows!$H$7:$H$163,$A34,Outflows!$M$7:$M$163,L$6),IF($A34="Sales VAT",SUM(L$8:L$12)*Inputs!$B$7/(1+Inputs!$B$7),IF(AND(L$6&gt;=$E34,L$6&lt;=$F34,Budget!$M24&gt;0),$D34/Budget!$M24,0)))</f>
        <v>0</v>
      </c>
      <c r="M34" s="35">
        <f>IF(M$5="Actual",SUMIFS(Outflows!$L$7:$L$163,Outflows!$H$7:$H$163,$A34,Outflows!$M$7:$M$163,M$6),IF($A34="Sales VAT",SUM(M$8:M$12)*Inputs!$B$7/(1+Inputs!$B$7),IF(AND(M$6&gt;=$E34,M$6&lt;=$F34,Budget!$M24&gt;0),$D34/Budget!$M24,0)))</f>
        <v>0</v>
      </c>
      <c r="N34" s="35">
        <f>IF(N$5="Actual",SUMIFS(Outflows!$L$7:$L$163,Outflows!$H$7:$H$163,$A34,Outflows!$M$7:$M$163,N$6),IF($A34="Sales VAT",SUM(N$8:N$12)*Inputs!$B$7/(1+Inputs!$B$7),IF(AND(N$6&gt;=$E34,N$6&lt;=$F34,Budget!$M24&gt;0),$D34/Budget!$M24,0)))</f>
        <v>0</v>
      </c>
      <c r="O34" s="35">
        <f>IF(O$5="Actual",SUMIFS(Outflows!$L$7:$L$163,Outflows!$H$7:$H$163,$A34,Outflows!$M$7:$M$163,O$6),IF($A34="Sales VAT",SUM(O$8:O$12)*Inputs!$B$7/(1+Inputs!$B$7),IF(AND(O$6&gt;=$E34,O$6&lt;=$F34,Budget!$M24&gt;0),$D34/Budget!$M24,0)))</f>
        <v>0</v>
      </c>
      <c r="P34" s="35">
        <f>IF(P$5="Actual",SUMIFS(Outflows!$L$7:$L$163,Outflows!$H$7:$H$163,$A34,Outflows!$M$7:$M$163,P$6),IF($A34="Sales VAT",SUM(P$8:P$12)*Inputs!$B$7/(1+Inputs!$B$7),IF(AND(P$6&gt;=$E34,P$6&lt;=$F34,Budget!$M24&gt;0),$D34/Budget!$M24,0)))</f>
        <v>0</v>
      </c>
      <c r="Q34" s="35">
        <f>IF(Q$5="Actual",SUMIFS(Outflows!$L$7:$L$163,Outflows!$H$7:$H$163,$A34,Outflows!$M$7:$M$163,Q$6),IF($A34="Sales VAT",SUM(Q$8:Q$12)*Inputs!$B$7/(1+Inputs!$B$7),IF(AND(Q$6&gt;=$E34,Q$6&lt;=$F34,Budget!$M24&gt;0),$D34/Budget!$M24,0)))</f>
        <v>0</v>
      </c>
      <c r="R34" s="35">
        <f>IF(R$5="Actual",SUMIFS(Outflows!$L$7:$L$163,Outflows!$H$7:$H$163,$A34,Outflows!$M$7:$M$163,R$6),IF($A34="Sales VAT",SUM(R$8:R$12)*Inputs!$B$7/(1+Inputs!$B$7),IF(AND(R$6&gt;=$E34,R$6&lt;=$F34,Budget!$M24&gt;0),$D34/Budget!$M24,0)))</f>
        <v>0</v>
      </c>
      <c r="S34" s="35">
        <f>IF(S$5="Actual",SUMIFS(Outflows!$L$7:$L$163,Outflows!$H$7:$H$163,$A34,Outflows!$M$7:$M$163,S$6),IF($A34="Sales VAT",SUM(S$8:S$12)*Inputs!$B$7/(1+Inputs!$B$7),IF(AND(S$6&gt;=$E34,S$6&lt;=$F34,Budget!$M24&gt;0),$D34/Budget!$M24,0)))</f>
        <v>12118.86866570643</v>
      </c>
      <c r="T34" s="35">
        <f>IF(T$5="Actual",SUMIFS(Outflows!$L$7:$L$163,Outflows!$H$7:$H$163,$A34,Outflows!$M$7:$M$163,T$6),IF($A34="Sales VAT",SUM(T$8:T$12)*Inputs!$B$7/(1+Inputs!$B$7),IF(AND(T$6&gt;=$E34,T$6&lt;=$F34,Budget!$M24&gt;0),$D34/Budget!$M24,0)))</f>
        <v>0</v>
      </c>
      <c r="U34" s="35">
        <f>IF(U$5="Actual",SUMIFS(Outflows!$L$7:$L$163,Outflows!$H$7:$H$163,$A34,Outflows!$M$7:$M$163,U$6),IF($A34="Sales VAT",SUM(U$8:U$12)*Inputs!$B$7/(1+Inputs!$B$7),IF(AND(U$6&gt;=$E34,U$6&lt;=$F34,Budget!$M24&gt;0),$D34/Budget!$M24,0)))</f>
        <v>0</v>
      </c>
      <c r="V34" s="35">
        <f>IF(V$5="Actual",SUMIFS(Outflows!$L$7:$L$163,Outflows!$H$7:$H$163,$A34,Outflows!$M$7:$M$163,V$6),IF($A34="Sales VAT",SUM(V$8:V$12)*Inputs!$B$7/(1+Inputs!$B$7),IF(AND(V$6&gt;=$E34,V$6&lt;=$F34,Budget!$M24&gt;0),$D34/Budget!$M24,0)))</f>
        <v>0</v>
      </c>
      <c r="W34" s="35">
        <f>IF(W$5="Actual",SUMIFS(Outflows!$L$7:$L$163,Outflows!$H$7:$H$163,$A34,Outflows!$M$7:$M$163,W$6),IF($A34="Sales VAT",SUM(W$8:W$12)*Inputs!$B$7/(1+Inputs!$B$7),IF(AND(W$6&gt;=$E34,W$6&lt;=$F34,Budget!$M24&gt;0),$D34/Budget!$M24,0)))</f>
        <v>0</v>
      </c>
      <c r="X34" s="35">
        <f>IF(X$5="Actual",SUMIFS(Outflows!$L$7:$L$163,Outflows!$H$7:$H$163,$A34,Outflows!$M$7:$M$163,X$6),IF($A34="Sales VAT",SUM(X$8:X$12)*Inputs!$B$7/(1+Inputs!$B$7),IF(AND(X$6&gt;=$E34,X$6&lt;=$F34,Budget!$M24&gt;0),$D34/Budget!$M24,0)))</f>
        <v>0</v>
      </c>
      <c r="Y34" s="35">
        <f>IF(Y$5="Actual",SUMIFS(Outflows!$L$7:$L$163,Outflows!$H$7:$H$163,$A34,Outflows!$M$7:$M$163,Y$6),IF($A34="Sales VAT",SUM(Y$8:Y$12)*Inputs!$B$7/(1+Inputs!$B$7),IF(AND(Y$6&gt;=$E34,Y$6&lt;=$F34,Budget!$M24&gt;0),$D34/Budget!$M24,0)))</f>
        <v>0</v>
      </c>
      <c r="Z34" s="35">
        <f>IF(Z$5="Actual",SUMIFS(Outflows!$L$7:$L$163,Outflows!$H$7:$H$163,$A34,Outflows!$M$7:$M$163,Z$6),IF($A34="Sales VAT",SUM(Z$8:Z$12)*Inputs!$B$7/(1+Inputs!$B$7),IF(AND(Z$6&gt;=$E34,Z$6&lt;=$F34,Budget!$M24&gt;0),$D34/Budget!$M24,0)))</f>
        <v>0</v>
      </c>
      <c r="AA34" s="35">
        <f>IF(AA$5="Actual",SUMIFS(Outflows!$L$7:$L$163,Outflows!$H$7:$H$163,$A34,Outflows!$M$7:$M$163,AA$6),IF($A34="Sales VAT",SUM(AA$8:AA$12)*Inputs!$B$7/(1+Inputs!$B$7),IF(AND(AA$6&gt;=$E34,AA$6&lt;=$F34,Budget!$M24&gt;0),$D34/Budget!$M24,0)))</f>
        <v>0</v>
      </c>
      <c r="AB34" s="35">
        <f>IF(AB$5="Actual",SUMIFS(Outflows!$L$7:$L$163,Outflows!$H$7:$H$163,$A34,Outflows!$M$7:$M$163,AB$6),IF($A34="Sales VAT",SUM(AB$8:AB$12)*Inputs!$B$7/(1+Inputs!$B$7),IF(AND(AB$6&gt;=$E34,AB$6&lt;=$F34,Budget!$M24&gt;0),$D34/Budget!$M24,0)))</f>
        <v>0</v>
      </c>
      <c r="AC34" s="35">
        <f>IF(AC$5="Actual",SUMIFS(Outflows!$L$7:$L$163,Outflows!$H$7:$H$163,$A34,Outflows!$M$7:$M$163,AC$6),IF($A34="Sales VAT",SUM(AC$8:AC$12)*Inputs!$B$7/(1+Inputs!$B$7),IF(AND(AC$6&gt;=$E34,AC$6&lt;=$F34,Budget!$M24&gt;0),$D34/Budget!$M24,0)))</f>
        <v>0</v>
      </c>
      <c r="AD34" s="35">
        <f>IF(AD$5="Actual",SUMIFS(Outflows!$L$7:$L$163,Outflows!$H$7:$H$163,$A34,Outflows!$M$7:$M$163,AD$6),IF($A34="Sales VAT",SUM(AD$8:AD$12)*Inputs!$B$7/(1+Inputs!$B$7),IF(AND(AD$6&gt;=$E34,AD$6&lt;=$F34,Budget!$M24&gt;0),$D34/Budget!$M24,0)))</f>
        <v>3121.9552223822611</v>
      </c>
      <c r="AE34" s="35">
        <f>IF(AE$5="Actual",SUMIFS(Outflows!$L$7:$L$163,Outflows!$H$7:$H$163,$A34,Outflows!$M$7:$M$163,AE$6),IF($A34="Sales VAT",SUM(AE$8:AE$12)*Inputs!$B$7/(1+Inputs!$B$7),IF(AND(AE$6&gt;=$E34,AE$6&lt;=$F34,Budget!$M24&gt;0),$D34/Budget!$M24,0)))</f>
        <v>3121.9552223822611</v>
      </c>
      <c r="AF34" s="35">
        <f>IF(AF$5="Actual",SUMIFS(Outflows!$L$7:$L$163,Outflows!$H$7:$H$163,$A34,Outflows!$M$7:$M$163,AF$6),IF($A34="Sales VAT",SUM(AF$8:AF$12)*Inputs!$B$7/(1+Inputs!$B$7),IF(AND(AF$6&gt;=$E34,AF$6&lt;=$F34,Budget!$M24&gt;0),$D34/Budget!$M24,0)))</f>
        <v>3121.9552223822611</v>
      </c>
      <c r="AG34" s="35">
        <f>IF(AG$5="Actual",SUMIFS(Outflows!$L$7:$L$163,Outflows!$H$7:$H$163,$A34,Outflows!$M$7:$M$163,AG$6),IF($A34="Sales VAT",SUM(AG$8:AG$12)*Inputs!$B$7/(1+Inputs!$B$7),IF(AND(AG$6&gt;=$E34,AG$6&lt;=$F34,Budget!$M24&gt;0),$D34/Budget!$M24,0)))</f>
        <v>3121.9552223822611</v>
      </c>
      <c r="AH34" s="35">
        <f>IF(AH$5="Actual",SUMIFS(Outflows!$L$7:$L$163,Outflows!$H$7:$H$163,$A34,Outflows!$M$7:$M$163,AH$6),IF($A34="Sales VAT",SUM(AH$8:AH$12)*Inputs!$B$7/(1+Inputs!$B$7),IF(AND(AH$6&gt;=$E34,AH$6&lt;=$F34,Budget!$M24&gt;0),$D34/Budget!$M24,0)))</f>
        <v>3121.9552223822611</v>
      </c>
      <c r="AI34" s="35">
        <f>IF(AI$5="Actual",SUMIFS(Outflows!$L$7:$L$163,Outflows!$H$7:$H$163,$A34,Outflows!$M$7:$M$163,AI$6),IF($A34="Sales VAT",SUM(AI$8:AI$12)*Inputs!$B$7/(1+Inputs!$B$7),IF(AND(AI$6&gt;=$E34,AI$6&lt;=$F34,Budget!$M24&gt;0),$D34/Budget!$M24,0)))</f>
        <v>3121.9552223822611</v>
      </c>
      <c r="AJ34" s="35">
        <f>IF(AJ$5="Actual",SUMIFS(Outflows!$L$7:$L$163,Outflows!$H$7:$H$163,$A34,Outflows!$M$7:$M$163,AJ$6),IF($A34="Sales VAT",SUM(AJ$8:AJ$12)*Inputs!$B$7/(1+Inputs!$B$7),IF(AND(AJ$6&gt;=$E34,AJ$6&lt;=$F34,Budget!$M24&gt;0),$D34/Budget!$M24,0)))</f>
        <v>0</v>
      </c>
      <c r="AK34" s="35">
        <f>IF(AK$5="Actual",SUMIFS(Outflows!$L$7:$L$163,Outflows!$H$7:$H$163,$A34,Outflows!$M$7:$M$163,AK$6),IF($A34="Sales VAT",SUM(AK$8:AK$12)*Inputs!$B$7/(1+Inputs!$B$7),IF(AND(AK$6&gt;=$E34,AK$6&lt;=$F34,Budget!$M24&gt;0),$D34/Budget!$M24,0)))</f>
        <v>0</v>
      </c>
      <c r="AL34" s="35">
        <f>IF(AL$5="Actual",SUMIFS(Outflows!$L$7:$L$163,Outflows!$H$7:$H$163,$A34,Outflows!$M$7:$M$163,AL$6),IF($A34="Sales VAT",SUM(AL$8:AL$12)*Inputs!$B$7/(1+Inputs!$B$7),IF(AND(AL$6&gt;=$E34,AL$6&lt;=$F34,Budget!$M24&gt;0),$D34/Budget!$M24,0)))</f>
        <v>0</v>
      </c>
      <c r="AM34" s="35">
        <f>IF(AM$5="Actual",SUMIFS(Outflows!$L$7:$L$163,Outflows!$H$7:$H$163,$A34,Outflows!$M$7:$M$163,AM$6),IF($A34="Sales VAT",SUM(AM$8:AM$12)*Inputs!$B$7/(1+Inputs!$B$7),IF(AND(AM$6&gt;=$E34,AM$6&lt;=$F34,Budget!$M24&gt;0),$D34/Budget!$M24,0)))</f>
        <v>0</v>
      </c>
      <c r="AN34" s="35">
        <f>IF(AN$5="Actual",SUMIFS(Outflows!$L$7:$L$163,Outflows!$H$7:$H$163,$A34,Outflows!$M$7:$M$163,AN$6),IF($A34="Sales VAT",SUM(AN$8:AN$12)*Inputs!$B$7/(1+Inputs!$B$7),IF(AND(AN$6&gt;=$E34,AN$6&lt;=$F34,Budget!$M24&gt;0),$D34/Budget!$M24,0)))</f>
        <v>0</v>
      </c>
      <c r="AO34" s="35">
        <f>IF(AO$5="Actual",SUMIFS(Outflows!$L$7:$L$163,Outflows!$H$7:$H$163,$A34,Outflows!$M$7:$M$163,AO$6),IF($A34="Sales VAT",SUM(AO$8:AO$12)*Inputs!$B$7/(1+Inputs!$B$7),IF(AND(AO$6&gt;=$E34,AO$6&lt;=$F34,Budget!$M24&gt;0),$D34/Budget!$M24,0)))</f>
        <v>0</v>
      </c>
      <c r="AP34" s="35">
        <f>IF(AP$5="Actual",SUMIFS(Outflows!$L$7:$L$163,Outflows!$H$7:$H$163,$A34,Outflows!$M$7:$M$163,AP$6),IF($A34="Sales VAT",SUM(AP$8:AP$12)*Inputs!$B$7/(1+Inputs!$B$7),IF(AND(AP$6&gt;=$E34,AP$6&lt;=$F34,Budget!$M24&gt;0),$D34/Budget!$M24,0)))</f>
        <v>0</v>
      </c>
      <c r="AQ34" s="35">
        <f>IF(AQ$5="Actual",SUMIFS(Outflows!$L$7:$L$163,Outflows!$H$7:$H$163,$A34,Outflows!$M$7:$M$163,AQ$6),IF($A34="Sales VAT",SUM(AQ$8:AQ$12)*Inputs!$B$7/(1+Inputs!$B$7),IF(AND(AQ$6&gt;=$E34,AQ$6&lt;=$F34,Budget!$M24&gt;0),$D34/Budget!$M24,0)))</f>
        <v>0</v>
      </c>
      <c r="AR34" s="35">
        <f>IF(AR$5="Actual",SUMIFS(Outflows!$L$7:$L$163,Outflows!$H$7:$H$163,$A34,Outflows!$M$7:$M$163,AR$6),IF($A34="Sales VAT",SUM(AR$8:AR$12)*Inputs!$B$7/(1+Inputs!$B$7),IF(AND(AR$6&gt;=$E34,AR$6&lt;=$F34,Budget!$M24&gt;0),$D34/Budget!$M24,0)))</f>
        <v>0</v>
      </c>
      <c r="AS34" s="35">
        <f>IF(AS$5="Actual",SUMIFS(Outflows!$L$7:$L$163,Outflows!$H$7:$H$163,$A34,Outflows!$M$7:$M$163,AS$6),IF($A34="Sales VAT",SUM(AS$8:AS$12)*Inputs!$B$7/(1+Inputs!$B$7),IF(AND(AS$6&gt;=$E34,AS$6&lt;=$F34,Budget!$M24&gt;0),$D34/Budget!$M24,0)))</f>
        <v>0</v>
      </c>
      <c r="AT34" s="35">
        <f>IF(AT$5="Actual",SUMIFS(Outflows!$L$7:$L$163,Outflows!$H$7:$H$163,$A34,Outflows!$M$7:$M$163,AT$6),IF($A34="Sales VAT",SUM(AT$8:AT$12)*Inputs!$B$7/(1+Inputs!$B$7),IF(AND(AT$6&gt;=$E34,AT$6&lt;=$F34,Budget!$M24&gt;0),$D34/Budget!$M24,0)))</f>
        <v>0</v>
      </c>
      <c r="AU34" s="35">
        <f>IF(AU$5="Actual",SUMIFS(Outflows!$L$7:$L$163,Outflows!$H$7:$H$163,$A34,Outflows!$M$7:$M$163,AU$6),IF($A34="Sales VAT",SUM(AU$8:AU$12)*Inputs!$B$7/(1+Inputs!$B$7),IF(AND(AU$6&gt;=$E34,AU$6&lt;=$F34,Budget!$M24&gt;0),$D34/Budget!$M24,0)))</f>
        <v>0</v>
      </c>
      <c r="AV34" s="35">
        <f>IF(AV$5="Actual",SUMIFS(Outflows!$L$7:$L$163,Outflows!$H$7:$H$163,$A34,Outflows!$M$7:$M$163,AV$6),IF($A34="Sales VAT",SUM(AV$8:AV$12)*Inputs!$B$7/(1+Inputs!$B$7),IF(AND(AV$6&gt;=$E34,AV$6&lt;=$F34,Budget!$M24&gt;0),$D34/Budget!$M24,0)))</f>
        <v>0</v>
      </c>
      <c r="AW34" s="35">
        <f>IF(AW$5="Actual",SUMIFS(Outflows!$L$7:$L$163,Outflows!$H$7:$H$163,$A34,Outflows!$M$7:$M$163,AW$6),IF($A34="Sales VAT",SUM(AW$8:AW$12)*Inputs!$B$7/(1+Inputs!$B$7),IF(AND(AW$6&gt;=$E34,AW$6&lt;=$F34,Budget!$M24&gt;0),$D34/Budget!$M24,0)))</f>
        <v>0</v>
      </c>
      <c r="AX34" s="35">
        <f>IF(AX$5="Actual",SUMIFS(Outflows!$L$7:$L$163,Outflows!$H$7:$H$163,$A34,Outflows!$M$7:$M$163,AX$6),IF($A34="Sales VAT",SUM(AX$8:AX$12)*Inputs!$B$7/(1+Inputs!$B$7),IF(AND(AX$6&gt;=$E34,AX$6&lt;=$F34,Budget!$M24&gt;0),$D34/Budget!$M24,0)))</f>
        <v>0</v>
      </c>
      <c r="AY34" s="35">
        <f>IF(AY$5="Actual",SUMIFS(Outflows!$L$7:$L$163,Outflows!$H$7:$H$163,$A34,Outflows!$M$7:$M$163,AY$6),IF($A34="Sales VAT",SUM(AY$8:AY$12)*Inputs!$B$7/(1+Inputs!$B$7),IF(AND(AY$6&gt;=$E34,AY$6&lt;=$F34,Budget!$M24&gt;0),$D34/Budget!$M24,0)))</f>
        <v>0</v>
      </c>
      <c r="AZ34" s="35">
        <f>IF(AZ$5="Actual",SUMIFS(Outflows!$L$7:$L$163,Outflows!$H$7:$H$163,$A34,Outflows!$M$7:$M$163,AZ$6),IF($A34="Sales VAT",SUM(AZ$8:AZ$12)*Inputs!$B$7/(1+Inputs!$B$7),IF(AND(AZ$6&gt;=$E34,AZ$6&lt;=$F34,Budget!$M24&gt;0),$D34/Budget!$M24,0)))</f>
        <v>0</v>
      </c>
      <c r="BA34" s="35">
        <f>IF(BA$5="Actual",SUMIFS(Outflows!$L$7:$L$163,Outflows!$H$7:$H$163,$A34,Outflows!$M$7:$M$163,BA$6),IF($A34="Sales VAT",SUM(BA$8:BA$12)*Inputs!$B$7/(1+Inputs!$B$7),IF(AND(BA$6&gt;=$E34,BA$6&lt;=$F34,Budget!$M24&gt;0),$D34/Budget!$M24,0)))</f>
        <v>0</v>
      </c>
    </row>
    <row r="35" spans="1:53">
      <c r="A35" s="6" t="str">
        <f>Budget!C25</f>
        <v>MEP Engineering</v>
      </c>
      <c r="B35" s="35">
        <f>Budget!G25</f>
        <v>30412.440332999999</v>
      </c>
      <c r="C35" s="35">
        <f>Budget!H25</f>
        <v>0</v>
      </c>
      <c r="D35" s="35">
        <f>Budget!I25</f>
        <v>30412.440332999999</v>
      </c>
      <c r="E35" s="61">
        <f>Budget!K25</f>
        <v>45292</v>
      </c>
      <c r="F35" s="61">
        <f>Budget!L25</f>
        <v>45627</v>
      </c>
      <c r="G35" s="35">
        <f>IF(G$5="Actual",SUMIFS(Outflows!$L$7:$L$163,Outflows!$H$7:$H$163,$A35,Outflows!$M$7:$M$163,G$6),IF($A35="Sales VAT",SUM(G$8:G$12)*Inputs!$B$7/(1+Inputs!$B$7),IF(AND(G$6&gt;=$E35,G$6&lt;=$F35,Budget!$M25&gt;0),$D35/Budget!$M25,0)))</f>
        <v>0</v>
      </c>
      <c r="H35" s="35">
        <f>IF(H$5="Actual",SUMIFS(Outflows!$L$7:$L$163,Outflows!$H$7:$H$163,$A35,Outflows!$M$7:$M$163,H$6),IF($A35="Sales VAT",SUM(H$8:H$12)*Inputs!$B$7/(1+Inputs!$B$7),IF(AND(H$6&gt;=$E35,H$6&lt;=$F35,Budget!$M25&gt;0),$D35/Budget!$M25,0)))</f>
        <v>0</v>
      </c>
      <c r="I35" s="35">
        <f>IF(I$5="Actual",SUMIFS(Outflows!$L$7:$L$163,Outflows!$H$7:$H$163,$A35,Outflows!$M$7:$M$163,I$6),IF($A35="Sales VAT",SUM(I$8:I$12)*Inputs!$B$7/(1+Inputs!$B$7),IF(AND(I$6&gt;=$E35,I$6&lt;=$F35,Budget!$M25&gt;0),$D35/Budget!$M25,0)))</f>
        <v>0</v>
      </c>
      <c r="J35" s="35">
        <f>IF(J$5="Actual",SUMIFS(Outflows!$L$7:$L$163,Outflows!$H$7:$H$163,$A35,Outflows!$M$7:$M$163,J$6),IF($A35="Sales VAT",SUM(J$8:J$12)*Inputs!$B$7/(1+Inputs!$B$7),IF(AND(J$6&gt;=$E35,J$6&lt;=$F35,Budget!$M25&gt;0),$D35/Budget!$M25,0)))</f>
        <v>0</v>
      </c>
      <c r="K35" s="35">
        <f>IF(K$5="Actual",SUMIFS(Outflows!$L$7:$L$163,Outflows!$H$7:$H$163,$A35,Outflows!$M$7:$M$163,K$6),IF($A35="Sales VAT",SUM(K$8:K$12)*Inputs!$B$7/(1+Inputs!$B$7),IF(AND(K$6&gt;=$E35,K$6&lt;=$F35,Budget!$M25&gt;0),$D35/Budget!$M25,0)))</f>
        <v>0</v>
      </c>
      <c r="L35" s="35">
        <f>IF(L$5="Actual",SUMIFS(Outflows!$L$7:$L$163,Outflows!$H$7:$H$163,$A35,Outflows!$M$7:$M$163,L$6),IF($A35="Sales VAT",SUM(L$8:L$12)*Inputs!$B$7/(1+Inputs!$B$7),IF(AND(L$6&gt;=$E35,L$6&lt;=$F35,Budget!$M25&gt;0),$D35/Budget!$M25,0)))</f>
        <v>0</v>
      </c>
      <c r="M35" s="35">
        <f>IF(M$5="Actual",SUMIFS(Outflows!$L$7:$L$163,Outflows!$H$7:$H$163,$A35,Outflows!$M$7:$M$163,M$6),IF($A35="Sales VAT",SUM(M$8:M$12)*Inputs!$B$7/(1+Inputs!$B$7),IF(AND(M$6&gt;=$E35,M$6&lt;=$F35,Budget!$M25&gt;0),$D35/Budget!$M25,0)))</f>
        <v>0</v>
      </c>
      <c r="N35" s="35">
        <f>IF(N$5="Actual",SUMIFS(Outflows!$L$7:$L$163,Outflows!$H$7:$H$163,$A35,Outflows!$M$7:$M$163,N$6),IF($A35="Sales VAT",SUM(N$8:N$12)*Inputs!$B$7/(1+Inputs!$B$7),IF(AND(N$6&gt;=$E35,N$6&lt;=$F35,Budget!$M25&gt;0),$D35/Budget!$M25,0)))</f>
        <v>0</v>
      </c>
      <c r="O35" s="35">
        <f>IF(O$5="Actual",SUMIFS(Outflows!$L$7:$L$163,Outflows!$H$7:$H$163,$A35,Outflows!$M$7:$M$163,O$6),IF($A35="Sales VAT",SUM(O$8:O$12)*Inputs!$B$7/(1+Inputs!$B$7),IF(AND(O$6&gt;=$E35,O$6&lt;=$F35,Budget!$M25&gt;0),$D35/Budget!$M25,0)))</f>
        <v>0</v>
      </c>
      <c r="P35" s="35">
        <f>IF(P$5="Actual",SUMIFS(Outflows!$L$7:$L$163,Outflows!$H$7:$H$163,$A35,Outflows!$M$7:$M$163,P$6),IF($A35="Sales VAT",SUM(P$8:P$12)*Inputs!$B$7/(1+Inputs!$B$7),IF(AND(P$6&gt;=$E35,P$6&lt;=$F35,Budget!$M25&gt;0),$D35/Budget!$M25,0)))</f>
        <v>0</v>
      </c>
      <c r="Q35" s="35">
        <f>IF(Q$5="Actual",SUMIFS(Outflows!$L$7:$L$163,Outflows!$H$7:$H$163,$A35,Outflows!$M$7:$M$163,Q$6),IF($A35="Sales VAT",SUM(Q$8:Q$12)*Inputs!$B$7/(1+Inputs!$B$7),IF(AND(Q$6&gt;=$E35,Q$6&lt;=$F35,Budget!$M25&gt;0),$D35/Budget!$M25,0)))</f>
        <v>0</v>
      </c>
      <c r="R35" s="35">
        <f>IF(R$5="Actual",SUMIFS(Outflows!$L$7:$L$163,Outflows!$H$7:$H$163,$A35,Outflows!$M$7:$M$163,R$6),IF($A35="Sales VAT",SUM(R$8:R$12)*Inputs!$B$7/(1+Inputs!$B$7),IF(AND(R$6&gt;=$E35,R$6&lt;=$F35,Budget!$M25&gt;0),$D35/Budget!$M25,0)))</f>
        <v>0</v>
      </c>
      <c r="S35" s="35">
        <f>IF(S$5="Actual",SUMIFS(Outflows!$L$7:$L$163,Outflows!$H$7:$H$163,$A35,Outflows!$M$7:$M$163,S$6),IF($A35="Sales VAT",SUM(S$8:S$12)*Inputs!$B$7/(1+Inputs!$B$7),IF(AND(S$6&gt;=$E35,S$6&lt;=$F35,Budget!$M25&gt;0),$D35/Budget!$M25,0)))</f>
        <v>0</v>
      </c>
      <c r="T35" s="35">
        <f>IF(T$5="Actual",SUMIFS(Outflows!$L$7:$L$163,Outflows!$H$7:$H$163,$A35,Outflows!$M$7:$M$163,T$6),IF($A35="Sales VAT",SUM(T$8:T$12)*Inputs!$B$7/(1+Inputs!$B$7),IF(AND(T$6&gt;=$E35,T$6&lt;=$F35,Budget!$M25&gt;0),$D35/Budget!$M25,0)))</f>
        <v>0</v>
      </c>
      <c r="U35" s="35">
        <f>IF(U$5="Actual",SUMIFS(Outflows!$L$7:$L$163,Outflows!$H$7:$H$163,$A35,Outflows!$M$7:$M$163,U$6),IF($A35="Sales VAT",SUM(U$8:U$12)*Inputs!$B$7/(1+Inputs!$B$7),IF(AND(U$6&gt;=$E35,U$6&lt;=$F35,Budget!$M25&gt;0),$D35/Budget!$M25,0)))</f>
        <v>0</v>
      </c>
      <c r="V35" s="35">
        <f>IF(V$5="Actual",SUMIFS(Outflows!$L$7:$L$163,Outflows!$H$7:$H$163,$A35,Outflows!$M$7:$M$163,V$6),IF($A35="Sales VAT",SUM(V$8:V$12)*Inputs!$B$7/(1+Inputs!$B$7),IF(AND(V$6&gt;=$E35,V$6&lt;=$F35,Budget!$M25&gt;0),$D35/Budget!$M25,0)))</f>
        <v>0</v>
      </c>
      <c r="W35" s="35">
        <f>IF(W$5="Actual",SUMIFS(Outflows!$L$7:$L$163,Outflows!$H$7:$H$163,$A35,Outflows!$M$7:$M$163,W$6),IF($A35="Sales VAT",SUM(W$8:W$12)*Inputs!$B$7/(1+Inputs!$B$7),IF(AND(W$6&gt;=$E35,W$6&lt;=$F35,Budget!$M25&gt;0),$D35/Budget!$M25,0)))</f>
        <v>0</v>
      </c>
      <c r="X35" s="35">
        <f>IF(X$5="Actual",SUMIFS(Outflows!$L$7:$L$163,Outflows!$H$7:$H$163,$A35,Outflows!$M$7:$M$163,X$6),IF($A35="Sales VAT",SUM(X$8:X$12)*Inputs!$B$7/(1+Inputs!$B$7),IF(AND(X$6&gt;=$E35,X$6&lt;=$F35,Budget!$M25&gt;0),$D35/Budget!$M25,0)))</f>
        <v>0</v>
      </c>
      <c r="Y35" s="35">
        <f>IF(Y$5="Actual",SUMIFS(Outflows!$L$7:$L$163,Outflows!$H$7:$H$163,$A35,Outflows!$M$7:$M$163,Y$6),IF($A35="Sales VAT",SUM(Y$8:Y$12)*Inputs!$B$7/(1+Inputs!$B$7),IF(AND(Y$6&gt;=$E35,Y$6&lt;=$F35,Budget!$M25&gt;0),$D35/Budget!$M25,0)))</f>
        <v>0</v>
      </c>
      <c r="Z35" s="35">
        <f>IF(Z$5="Actual",SUMIFS(Outflows!$L$7:$L$163,Outflows!$H$7:$H$163,$A35,Outflows!$M$7:$M$163,Z$6),IF($A35="Sales VAT",SUM(Z$8:Z$12)*Inputs!$B$7/(1+Inputs!$B$7),IF(AND(Z$6&gt;=$E35,Z$6&lt;=$F35,Budget!$M25&gt;0),$D35/Budget!$M25,0)))</f>
        <v>0</v>
      </c>
      <c r="AA35" s="35">
        <f>IF(AA$5="Actual",SUMIFS(Outflows!$L$7:$L$163,Outflows!$H$7:$H$163,$A35,Outflows!$M$7:$M$163,AA$6),IF($A35="Sales VAT",SUM(AA$8:AA$12)*Inputs!$B$7/(1+Inputs!$B$7),IF(AND(AA$6&gt;=$E35,AA$6&lt;=$F35,Budget!$M25&gt;0),$D35/Budget!$M25,0)))</f>
        <v>0</v>
      </c>
      <c r="AB35" s="35">
        <f>IF(AB$5="Actual",SUMIFS(Outflows!$L$7:$L$163,Outflows!$H$7:$H$163,$A35,Outflows!$M$7:$M$163,AB$6),IF($A35="Sales VAT",SUM(AB$8:AB$12)*Inputs!$B$7/(1+Inputs!$B$7),IF(AND(AB$6&gt;=$E35,AB$6&lt;=$F35,Budget!$M25&gt;0),$D35/Budget!$M25,0)))</f>
        <v>0</v>
      </c>
      <c r="AC35" s="35">
        <f>IF(AC$5="Actual",SUMIFS(Outflows!$L$7:$L$163,Outflows!$H$7:$H$163,$A35,Outflows!$M$7:$M$163,AC$6),IF($A35="Sales VAT",SUM(AC$8:AC$12)*Inputs!$B$7/(1+Inputs!$B$7),IF(AND(AC$6&gt;=$E35,AC$6&lt;=$F35,Budget!$M25&gt;0),$D35/Budget!$M25,0)))</f>
        <v>0</v>
      </c>
      <c r="AD35" s="35">
        <f>IF(AD$5="Actual",SUMIFS(Outflows!$L$7:$L$163,Outflows!$H$7:$H$163,$A35,Outflows!$M$7:$M$163,AD$6),IF($A35="Sales VAT",SUM(AD$8:AD$12)*Inputs!$B$7/(1+Inputs!$B$7),IF(AND(AD$6&gt;=$E35,AD$6&lt;=$F35,Budget!$M25&gt;0),$D35/Budget!$M25,0)))</f>
        <v>2534.3700277499997</v>
      </c>
      <c r="AE35" s="35">
        <f>IF(AE$5="Actual",SUMIFS(Outflows!$L$7:$L$163,Outflows!$H$7:$H$163,$A35,Outflows!$M$7:$M$163,AE$6),IF($A35="Sales VAT",SUM(AE$8:AE$12)*Inputs!$B$7/(1+Inputs!$B$7),IF(AND(AE$6&gt;=$E35,AE$6&lt;=$F35,Budget!$M25&gt;0),$D35/Budget!$M25,0)))</f>
        <v>2534.3700277499997</v>
      </c>
      <c r="AF35" s="35">
        <f>IF(AF$5="Actual",SUMIFS(Outflows!$L$7:$L$163,Outflows!$H$7:$H$163,$A35,Outflows!$M$7:$M$163,AF$6),IF($A35="Sales VAT",SUM(AF$8:AF$12)*Inputs!$B$7/(1+Inputs!$B$7),IF(AND(AF$6&gt;=$E35,AF$6&lt;=$F35,Budget!$M25&gt;0),$D35/Budget!$M25,0)))</f>
        <v>2534.3700277499997</v>
      </c>
      <c r="AG35" s="35">
        <f>IF(AG$5="Actual",SUMIFS(Outflows!$L$7:$L$163,Outflows!$H$7:$H$163,$A35,Outflows!$M$7:$M$163,AG$6),IF($A35="Sales VAT",SUM(AG$8:AG$12)*Inputs!$B$7/(1+Inputs!$B$7),IF(AND(AG$6&gt;=$E35,AG$6&lt;=$F35,Budget!$M25&gt;0),$D35/Budget!$M25,0)))</f>
        <v>2534.3700277499997</v>
      </c>
      <c r="AH35" s="35">
        <f>IF(AH$5="Actual",SUMIFS(Outflows!$L$7:$L$163,Outflows!$H$7:$H$163,$A35,Outflows!$M$7:$M$163,AH$6),IF($A35="Sales VAT",SUM(AH$8:AH$12)*Inputs!$B$7/(1+Inputs!$B$7),IF(AND(AH$6&gt;=$E35,AH$6&lt;=$F35,Budget!$M25&gt;0),$D35/Budget!$M25,0)))</f>
        <v>2534.3700277499997</v>
      </c>
      <c r="AI35" s="35">
        <f>IF(AI$5="Actual",SUMIFS(Outflows!$L$7:$L$163,Outflows!$H$7:$H$163,$A35,Outflows!$M$7:$M$163,AI$6),IF($A35="Sales VAT",SUM(AI$8:AI$12)*Inputs!$B$7/(1+Inputs!$B$7),IF(AND(AI$6&gt;=$E35,AI$6&lt;=$F35,Budget!$M25&gt;0),$D35/Budget!$M25,0)))</f>
        <v>2534.3700277499997</v>
      </c>
      <c r="AJ35" s="35">
        <f>IF(AJ$5="Actual",SUMIFS(Outflows!$L$7:$L$163,Outflows!$H$7:$H$163,$A35,Outflows!$M$7:$M$163,AJ$6),IF($A35="Sales VAT",SUM(AJ$8:AJ$12)*Inputs!$B$7/(1+Inputs!$B$7),IF(AND(AJ$6&gt;=$E35,AJ$6&lt;=$F35,Budget!$M25&gt;0),$D35/Budget!$M25,0)))</f>
        <v>2534.3700277499997</v>
      </c>
      <c r="AK35" s="35">
        <f>IF(AK$5="Actual",SUMIFS(Outflows!$L$7:$L$163,Outflows!$H$7:$H$163,$A35,Outflows!$M$7:$M$163,AK$6),IF($A35="Sales VAT",SUM(AK$8:AK$12)*Inputs!$B$7/(1+Inputs!$B$7),IF(AND(AK$6&gt;=$E35,AK$6&lt;=$F35,Budget!$M25&gt;0),$D35/Budget!$M25,0)))</f>
        <v>2534.3700277499997</v>
      </c>
      <c r="AL35" s="35">
        <f>IF(AL$5="Actual",SUMIFS(Outflows!$L$7:$L$163,Outflows!$H$7:$H$163,$A35,Outflows!$M$7:$M$163,AL$6),IF($A35="Sales VAT",SUM(AL$8:AL$12)*Inputs!$B$7/(1+Inputs!$B$7),IF(AND(AL$6&gt;=$E35,AL$6&lt;=$F35,Budget!$M25&gt;0),$D35/Budget!$M25,0)))</f>
        <v>2534.3700277499997</v>
      </c>
      <c r="AM35" s="35">
        <f>IF(AM$5="Actual",SUMIFS(Outflows!$L$7:$L$163,Outflows!$H$7:$H$163,$A35,Outflows!$M$7:$M$163,AM$6),IF($A35="Sales VAT",SUM(AM$8:AM$12)*Inputs!$B$7/(1+Inputs!$B$7),IF(AND(AM$6&gt;=$E35,AM$6&lt;=$F35,Budget!$M25&gt;0),$D35/Budget!$M25,0)))</f>
        <v>2534.3700277499997</v>
      </c>
      <c r="AN35" s="35">
        <f>IF(AN$5="Actual",SUMIFS(Outflows!$L$7:$L$163,Outflows!$H$7:$H$163,$A35,Outflows!$M$7:$M$163,AN$6),IF($A35="Sales VAT",SUM(AN$8:AN$12)*Inputs!$B$7/(1+Inputs!$B$7),IF(AND(AN$6&gt;=$E35,AN$6&lt;=$F35,Budget!$M25&gt;0),$D35/Budget!$M25,0)))</f>
        <v>2534.3700277499997</v>
      </c>
      <c r="AO35" s="35">
        <f>IF(AO$5="Actual",SUMIFS(Outflows!$L$7:$L$163,Outflows!$H$7:$H$163,$A35,Outflows!$M$7:$M$163,AO$6),IF($A35="Sales VAT",SUM(AO$8:AO$12)*Inputs!$B$7/(1+Inputs!$B$7),IF(AND(AO$6&gt;=$E35,AO$6&lt;=$F35,Budget!$M25&gt;0),$D35/Budget!$M25,0)))</f>
        <v>2534.3700277499997</v>
      </c>
      <c r="AP35" s="35">
        <f>IF(AP$5="Actual",SUMIFS(Outflows!$L$7:$L$163,Outflows!$H$7:$H$163,$A35,Outflows!$M$7:$M$163,AP$6),IF($A35="Sales VAT",SUM(AP$8:AP$12)*Inputs!$B$7/(1+Inputs!$B$7),IF(AND(AP$6&gt;=$E35,AP$6&lt;=$F35,Budget!$M25&gt;0),$D35/Budget!$M25,0)))</f>
        <v>0</v>
      </c>
      <c r="AQ35" s="35">
        <f>IF(AQ$5="Actual",SUMIFS(Outflows!$L$7:$L$163,Outflows!$H$7:$H$163,$A35,Outflows!$M$7:$M$163,AQ$6),IF($A35="Sales VAT",SUM(AQ$8:AQ$12)*Inputs!$B$7/(1+Inputs!$B$7),IF(AND(AQ$6&gt;=$E35,AQ$6&lt;=$F35,Budget!$M25&gt;0),$D35/Budget!$M25,0)))</f>
        <v>0</v>
      </c>
      <c r="AR35" s="35">
        <f>IF(AR$5="Actual",SUMIFS(Outflows!$L$7:$L$163,Outflows!$H$7:$H$163,$A35,Outflows!$M$7:$M$163,AR$6),IF($A35="Sales VAT",SUM(AR$8:AR$12)*Inputs!$B$7/(1+Inputs!$B$7),IF(AND(AR$6&gt;=$E35,AR$6&lt;=$F35,Budget!$M25&gt;0),$D35/Budget!$M25,0)))</f>
        <v>0</v>
      </c>
      <c r="AS35" s="35">
        <f>IF(AS$5="Actual",SUMIFS(Outflows!$L$7:$L$163,Outflows!$H$7:$H$163,$A35,Outflows!$M$7:$M$163,AS$6),IF($A35="Sales VAT",SUM(AS$8:AS$12)*Inputs!$B$7/(1+Inputs!$B$7),IF(AND(AS$6&gt;=$E35,AS$6&lt;=$F35,Budget!$M25&gt;0),$D35/Budget!$M25,0)))</f>
        <v>0</v>
      </c>
      <c r="AT35" s="35">
        <f>IF(AT$5="Actual",SUMIFS(Outflows!$L$7:$L$163,Outflows!$H$7:$H$163,$A35,Outflows!$M$7:$M$163,AT$6),IF($A35="Sales VAT",SUM(AT$8:AT$12)*Inputs!$B$7/(1+Inputs!$B$7),IF(AND(AT$6&gt;=$E35,AT$6&lt;=$F35,Budget!$M25&gt;0),$D35/Budget!$M25,0)))</f>
        <v>0</v>
      </c>
      <c r="AU35" s="35">
        <f>IF(AU$5="Actual",SUMIFS(Outflows!$L$7:$L$163,Outflows!$H$7:$H$163,$A35,Outflows!$M$7:$M$163,AU$6),IF($A35="Sales VAT",SUM(AU$8:AU$12)*Inputs!$B$7/(1+Inputs!$B$7),IF(AND(AU$6&gt;=$E35,AU$6&lt;=$F35,Budget!$M25&gt;0),$D35/Budget!$M25,0)))</f>
        <v>0</v>
      </c>
      <c r="AV35" s="35">
        <f>IF(AV$5="Actual",SUMIFS(Outflows!$L$7:$L$163,Outflows!$H$7:$H$163,$A35,Outflows!$M$7:$M$163,AV$6),IF($A35="Sales VAT",SUM(AV$8:AV$12)*Inputs!$B$7/(1+Inputs!$B$7),IF(AND(AV$6&gt;=$E35,AV$6&lt;=$F35,Budget!$M25&gt;0),$D35/Budget!$M25,0)))</f>
        <v>0</v>
      </c>
      <c r="AW35" s="35">
        <f>IF(AW$5="Actual",SUMIFS(Outflows!$L$7:$L$163,Outflows!$H$7:$H$163,$A35,Outflows!$M$7:$M$163,AW$6),IF($A35="Sales VAT",SUM(AW$8:AW$12)*Inputs!$B$7/(1+Inputs!$B$7),IF(AND(AW$6&gt;=$E35,AW$6&lt;=$F35,Budget!$M25&gt;0),$D35/Budget!$M25,0)))</f>
        <v>0</v>
      </c>
      <c r="AX35" s="35">
        <f>IF(AX$5="Actual",SUMIFS(Outflows!$L$7:$L$163,Outflows!$H$7:$H$163,$A35,Outflows!$M$7:$M$163,AX$6),IF($A35="Sales VAT",SUM(AX$8:AX$12)*Inputs!$B$7/(1+Inputs!$B$7),IF(AND(AX$6&gt;=$E35,AX$6&lt;=$F35,Budget!$M25&gt;0),$D35/Budget!$M25,0)))</f>
        <v>0</v>
      </c>
      <c r="AY35" s="35">
        <f>IF(AY$5="Actual",SUMIFS(Outflows!$L$7:$L$163,Outflows!$H$7:$H$163,$A35,Outflows!$M$7:$M$163,AY$6),IF($A35="Sales VAT",SUM(AY$8:AY$12)*Inputs!$B$7/(1+Inputs!$B$7),IF(AND(AY$6&gt;=$E35,AY$6&lt;=$F35,Budget!$M25&gt;0),$D35/Budget!$M25,0)))</f>
        <v>0</v>
      </c>
      <c r="AZ35" s="35">
        <f>IF(AZ$5="Actual",SUMIFS(Outflows!$L$7:$L$163,Outflows!$H$7:$H$163,$A35,Outflows!$M$7:$M$163,AZ$6),IF($A35="Sales VAT",SUM(AZ$8:AZ$12)*Inputs!$B$7/(1+Inputs!$B$7),IF(AND(AZ$6&gt;=$E35,AZ$6&lt;=$F35,Budget!$M25&gt;0),$D35/Budget!$M25,0)))</f>
        <v>0</v>
      </c>
      <c r="BA35" s="35">
        <f>IF(BA$5="Actual",SUMIFS(Outflows!$L$7:$L$163,Outflows!$H$7:$H$163,$A35,Outflows!$M$7:$M$163,BA$6),IF($A35="Sales VAT",SUM(BA$8:BA$12)*Inputs!$B$7/(1+Inputs!$B$7),IF(AND(BA$6&gt;=$E35,BA$6&lt;=$F35,Budget!$M25&gt;0),$D35/Budget!$M25,0)))</f>
        <v>0</v>
      </c>
    </row>
    <row r="36" spans="1:53">
      <c r="A36" s="6" t="str">
        <f>Budget!C26</f>
        <v>Sitegrid / Other QS</v>
      </c>
      <c r="B36" s="35">
        <f>Budget!G26</f>
        <v>0</v>
      </c>
      <c r="C36" s="35">
        <f>Budget!H26</f>
        <v>2707.6316960030499</v>
      </c>
      <c r="D36" s="35">
        <f>Budget!I26</f>
        <v>0</v>
      </c>
      <c r="E36" s="61">
        <f>Budget!K26</f>
        <v>45292</v>
      </c>
      <c r="F36" s="61">
        <f>Budget!L26</f>
        <v>45627</v>
      </c>
      <c r="G36" s="35">
        <f>IF(G$5="Actual",SUMIFS(Outflows!$L$7:$L$163,Outflows!$H$7:$H$163,$A36,Outflows!$M$7:$M$163,G$6),IF($A36="Sales VAT",SUM(G$8:G$12)*Inputs!$B$7/(1+Inputs!$B$7),IF(AND(G$6&gt;=$E36,G$6&lt;=$F36,Budget!$M26&gt;0),$D36/Budget!$M26,0)))</f>
        <v>0</v>
      </c>
      <c r="H36" s="35">
        <f>IF(H$5="Actual",SUMIFS(Outflows!$L$7:$L$163,Outflows!$H$7:$H$163,$A36,Outflows!$M$7:$M$163,H$6),IF($A36="Sales VAT",SUM(H$8:H$12)*Inputs!$B$7/(1+Inputs!$B$7),IF(AND(H$6&gt;=$E36,H$6&lt;=$F36,Budget!$M26&gt;0),$D36/Budget!$M26,0)))</f>
        <v>0</v>
      </c>
      <c r="I36" s="35">
        <f>IF(I$5="Actual",SUMIFS(Outflows!$L$7:$L$163,Outflows!$H$7:$H$163,$A36,Outflows!$M$7:$M$163,I$6),IF($A36="Sales VAT",SUM(I$8:I$12)*Inputs!$B$7/(1+Inputs!$B$7),IF(AND(I$6&gt;=$E36,I$6&lt;=$F36,Budget!$M26&gt;0),$D36/Budget!$M26,0)))</f>
        <v>0</v>
      </c>
      <c r="J36" s="35">
        <f>IF(J$5="Actual",SUMIFS(Outflows!$L$7:$L$163,Outflows!$H$7:$H$163,$A36,Outflows!$M$7:$M$163,J$6),IF($A36="Sales VAT",SUM(J$8:J$12)*Inputs!$B$7/(1+Inputs!$B$7),IF(AND(J$6&gt;=$E36,J$6&lt;=$F36,Budget!$M26&gt;0),$D36/Budget!$M26,0)))</f>
        <v>0</v>
      </c>
      <c r="K36" s="35">
        <f>IF(K$5="Actual",SUMIFS(Outflows!$L$7:$L$163,Outflows!$H$7:$H$163,$A36,Outflows!$M$7:$M$163,K$6),IF($A36="Sales VAT",SUM(K$8:K$12)*Inputs!$B$7/(1+Inputs!$B$7),IF(AND(K$6&gt;=$E36,K$6&lt;=$F36,Budget!$M26&gt;0),$D36/Budget!$M26,0)))</f>
        <v>0</v>
      </c>
      <c r="L36" s="35">
        <f>IF(L$5="Actual",SUMIFS(Outflows!$L$7:$L$163,Outflows!$H$7:$H$163,$A36,Outflows!$M$7:$M$163,L$6),IF($A36="Sales VAT",SUM(L$8:L$12)*Inputs!$B$7/(1+Inputs!$B$7),IF(AND(L$6&gt;=$E36,L$6&lt;=$F36,Budget!$M26&gt;0),$D36/Budget!$M26,0)))</f>
        <v>0</v>
      </c>
      <c r="M36" s="35">
        <f>IF(M$5="Actual",SUMIFS(Outflows!$L$7:$L$163,Outflows!$H$7:$H$163,$A36,Outflows!$M$7:$M$163,M$6),IF($A36="Sales VAT",SUM(M$8:M$12)*Inputs!$B$7/(1+Inputs!$B$7),IF(AND(M$6&gt;=$E36,M$6&lt;=$F36,Budget!$M26&gt;0),$D36/Budget!$M26,0)))</f>
        <v>0</v>
      </c>
      <c r="N36" s="35">
        <f>IF(N$5="Actual",SUMIFS(Outflows!$L$7:$L$163,Outflows!$H$7:$H$163,$A36,Outflows!$M$7:$M$163,N$6),IF($A36="Sales VAT",SUM(N$8:N$12)*Inputs!$B$7/(1+Inputs!$B$7),IF(AND(N$6&gt;=$E36,N$6&lt;=$F36,Budget!$M26&gt;0),$D36/Budget!$M26,0)))</f>
        <v>0</v>
      </c>
      <c r="O36" s="35">
        <f>IF(O$5="Actual",SUMIFS(Outflows!$L$7:$L$163,Outflows!$H$7:$H$163,$A36,Outflows!$M$7:$M$163,O$6),IF($A36="Sales VAT",SUM(O$8:O$12)*Inputs!$B$7/(1+Inputs!$B$7),IF(AND(O$6&gt;=$E36,O$6&lt;=$F36,Budget!$M26&gt;0),$D36/Budget!$M26,0)))</f>
        <v>0</v>
      </c>
      <c r="P36" s="35">
        <f>IF(P$5="Actual",SUMIFS(Outflows!$L$7:$L$163,Outflows!$H$7:$H$163,$A36,Outflows!$M$7:$M$163,P$6),IF($A36="Sales VAT",SUM(P$8:P$12)*Inputs!$B$7/(1+Inputs!$B$7),IF(AND(P$6&gt;=$E36,P$6&lt;=$F36,Budget!$M26&gt;0),$D36/Budget!$M26,0)))</f>
        <v>2707.6316960030499</v>
      </c>
      <c r="Q36" s="35">
        <f>IF(Q$5="Actual",SUMIFS(Outflows!$L$7:$L$163,Outflows!$H$7:$H$163,$A36,Outflows!$M$7:$M$163,Q$6),IF($A36="Sales VAT",SUM(Q$8:Q$12)*Inputs!$B$7/(1+Inputs!$B$7),IF(AND(Q$6&gt;=$E36,Q$6&lt;=$F36,Budget!$M26&gt;0),$D36/Budget!$M26,0)))</f>
        <v>0</v>
      </c>
      <c r="R36" s="35">
        <f>IF(R$5="Actual",SUMIFS(Outflows!$L$7:$L$163,Outflows!$H$7:$H$163,$A36,Outflows!$M$7:$M$163,R$6),IF($A36="Sales VAT",SUM(R$8:R$12)*Inputs!$B$7/(1+Inputs!$B$7),IF(AND(R$6&gt;=$E36,R$6&lt;=$F36,Budget!$M26&gt;0),$D36/Budget!$M26,0)))</f>
        <v>0</v>
      </c>
      <c r="S36" s="35">
        <f>IF(S$5="Actual",SUMIFS(Outflows!$L$7:$L$163,Outflows!$H$7:$H$163,$A36,Outflows!$M$7:$M$163,S$6),IF($A36="Sales VAT",SUM(S$8:S$12)*Inputs!$B$7/(1+Inputs!$B$7),IF(AND(S$6&gt;=$E36,S$6&lt;=$F36,Budget!$M26&gt;0),$D36/Budget!$M26,0)))</f>
        <v>0</v>
      </c>
      <c r="T36" s="35">
        <f>IF(T$5="Actual",SUMIFS(Outflows!$L$7:$L$163,Outflows!$H$7:$H$163,$A36,Outflows!$M$7:$M$163,T$6),IF($A36="Sales VAT",SUM(T$8:T$12)*Inputs!$B$7/(1+Inputs!$B$7),IF(AND(T$6&gt;=$E36,T$6&lt;=$F36,Budget!$M26&gt;0),$D36/Budget!$M26,0)))</f>
        <v>0</v>
      </c>
      <c r="U36" s="35">
        <f>IF(U$5="Actual",SUMIFS(Outflows!$L$7:$L$163,Outflows!$H$7:$H$163,$A36,Outflows!$M$7:$M$163,U$6),IF($A36="Sales VAT",SUM(U$8:U$12)*Inputs!$B$7/(1+Inputs!$B$7),IF(AND(U$6&gt;=$E36,U$6&lt;=$F36,Budget!$M26&gt;0),$D36/Budget!$M26,0)))</f>
        <v>0</v>
      </c>
      <c r="V36" s="35">
        <f>IF(V$5="Actual",SUMIFS(Outflows!$L$7:$L$163,Outflows!$H$7:$H$163,$A36,Outflows!$M$7:$M$163,V$6),IF($A36="Sales VAT",SUM(V$8:V$12)*Inputs!$B$7/(1+Inputs!$B$7),IF(AND(V$6&gt;=$E36,V$6&lt;=$F36,Budget!$M26&gt;0),$D36/Budget!$M26,0)))</f>
        <v>0</v>
      </c>
      <c r="W36" s="35">
        <f>IF(W$5="Actual",SUMIFS(Outflows!$L$7:$L$163,Outflows!$H$7:$H$163,$A36,Outflows!$M$7:$M$163,W$6),IF($A36="Sales VAT",SUM(W$8:W$12)*Inputs!$B$7/(1+Inputs!$B$7),IF(AND(W$6&gt;=$E36,W$6&lt;=$F36,Budget!$M26&gt;0),$D36/Budget!$M26,0)))</f>
        <v>0</v>
      </c>
      <c r="X36" s="35">
        <f>IF(X$5="Actual",SUMIFS(Outflows!$L$7:$L$163,Outflows!$H$7:$H$163,$A36,Outflows!$M$7:$M$163,X$6),IF($A36="Sales VAT",SUM(X$8:X$12)*Inputs!$B$7/(1+Inputs!$B$7),IF(AND(X$6&gt;=$E36,X$6&lt;=$F36,Budget!$M26&gt;0),$D36/Budget!$M26,0)))</f>
        <v>0</v>
      </c>
      <c r="Y36" s="35">
        <f>IF(Y$5="Actual",SUMIFS(Outflows!$L$7:$L$163,Outflows!$H$7:$H$163,$A36,Outflows!$M$7:$M$163,Y$6),IF($A36="Sales VAT",SUM(Y$8:Y$12)*Inputs!$B$7/(1+Inputs!$B$7),IF(AND(Y$6&gt;=$E36,Y$6&lt;=$F36,Budget!$M26&gt;0),$D36/Budget!$M26,0)))</f>
        <v>0</v>
      </c>
      <c r="Z36" s="35">
        <f>IF(Z$5="Actual",SUMIFS(Outflows!$L$7:$L$163,Outflows!$H$7:$H$163,$A36,Outflows!$M$7:$M$163,Z$6),IF($A36="Sales VAT",SUM(Z$8:Z$12)*Inputs!$B$7/(1+Inputs!$B$7),IF(AND(Z$6&gt;=$E36,Z$6&lt;=$F36,Budget!$M26&gt;0),$D36/Budget!$M26,0)))</f>
        <v>0</v>
      </c>
      <c r="AA36" s="35">
        <f>IF(AA$5="Actual",SUMIFS(Outflows!$L$7:$L$163,Outflows!$H$7:$H$163,$A36,Outflows!$M$7:$M$163,AA$6),IF($A36="Sales VAT",SUM(AA$8:AA$12)*Inputs!$B$7/(1+Inputs!$B$7),IF(AND(AA$6&gt;=$E36,AA$6&lt;=$F36,Budget!$M26&gt;0),$D36/Budget!$M26,0)))</f>
        <v>0</v>
      </c>
      <c r="AB36" s="35">
        <f>IF(AB$5="Actual",SUMIFS(Outflows!$L$7:$L$163,Outflows!$H$7:$H$163,$A36,Outflows!$M$7:$M$163,AB$6),IF($A36="Sales VAT",SUM(AB$8:AB$12)*Inputs!$B$7/(1+Inputs!$B$7),IF(AND(AB$6&gt;=$E36,AB$6&lt;=$F36,Budget!$M26&gt;0),$D36/Budget!$M26,0)))</f>
        <v>0</v>
      </c>
      <c r="AC36" s="35">
        <f>IF(AC$5="Actual",SUMIFS(Outflows!$L$7:$L$163,Outflows!$H$7:$H$163,$A36,Outflows!$M$7:$M$163,AC$6),IF($A36="Sales VAT",SUM(AC$8:AC$12)*Inputs!$B$7/(1+Inputs!$B$7),IF(AND(AC$6&gt;=$E36,AC$6&lt;=$F36,Budget!$M26&gt;0),$D36/Budget!$M26,0)))</f>
        <v>0</v>
      </c>
      <c r="AD36" s="35">
        <f>IF(AD$5="Actual",SUMIFS(Outflows!$L$7:$L$163,Outflows!$H$7:$H$163,$A36,Outflows!$M$7:$M$163,AD$6),IF($A36="Sales VAT",SUM(AD$8:AD$12)*Inputs!$B$7/(1+Inputs!$B$7),IF(AND(AD$6&gt;=$E36,AD$6&lt;=$F36,Budget!$M26&gt;0),$D36/Budget!$M26,0)))</f>
        <v>0</v>
      </c>
      <c r="AE36" s="35">
        <f>IF(AE$5="Actual",SUMIFS(Outflows!$L$7:$L$163,Outflows!$H$7:$H$163,$A36,Outflows!$M$7:$M$163,AE$6),IF($A36="Sales VAT",SUM(AE$8:AE$12)*Inputs!$B$7/(1+Inputs!$B$7),IF(AND(AE$6&gt;=$E36,AE$6&lt;=$F36,Budget!$M26&gt;0),$D36/Budget!$M26,0)))</f>
        <v>0</v>
      </c>
      <c r="AF36" s="35">
        <f>IF(AF$5="Actual",SUMIFS(Outflows!$L$7:$L$163,Outflows!$H$7:$H$163,$A36,Outflows!$M$7:$M$163,AF$6),IF($A36="Sales VAT",SUM(AF$8:AF$12)*Inputs!$B$7/(1+Inputs!$B$7),IF(AND(AF$6&gt;=$E36,AF$6&lt;=$F36,Budget!$M26&gt;0),$D36/Budget!$M26,0)))</f>
        <v>0</v>
      </c>
      <c r="AG36" s="35">
        <f>IF(AG$5="Actual",SUMIFS(Outflows!$L$7:$L$163,Outflows!$H$7:$H$163,$A36,Outflows!$M$7:$M$163,AG$6),IF($A36="Sales VAT",SUM(AG$8:AG$12)*Inputs!$B$7/(1+Inputs!$B$7),IF(AND(AG$6&gt;=$E36,AG$6&lt;=$F36,Budget!$M26&gt;0),$D36/Budget!$M26,0)))</f>
        <v>0</v>
      </c>
      <c r="AH36" s="35">
        <f>IF(AH$5="Actual",SUMIFS(Outflows!$L$7:$L$163,Outflows!$H$7:$H$163,$A36,Outflows!$M$7:$M$163,AH$6),IF($A36="Sales VAT",SUM(AH$8:AH$12)*Inputs!$B$7/(1+Inputs!$B$7),IF(AND(AH$6&gt;=$E36,AH$6&lt;=$F36,Budget!$M26&gt;0),$D36/Budget!$M26,0)))</f>
        <v>0</v>
      </c>
      <c r="AI36" s="35">
        <f>IF(AI$5="Actual",SUMIFS(Outflows!$L$7:$L$163,Outflows!$H$7:$H$163,$A36,Outflows!$M$7:$M$163,AI$6),IF($A36="Sales VAT",SUM(AI$8:AI$12)*Inputs!$B$7/(1+Inputs!$B$7),IF(AND(AI$6&gt;=$E36,AI$6&lt;=$F36,Budget!$M26&gt;0),$D36/Budget!$M26,0)))</f>
        <v>0</v>
      </c>
      <c r="AJ36" s="35">
        <f>IF(AJ$5="Actual",SUMIFS(Outflows!$L$7:$L$163,Outflows!$H$7:$H$163,$A36,Outflows!$M$7:$M$163,AJ$6),IF($A36="Sales VAT",SUM(AJ$8:AJ$12)*Inputs!$B$7/(1+Inputs!$B$7),IF(AND(AJ$6&gt;=$E36,AJ$6&lt;=$F36,Budget!$M26&gt;0),$D36/Budget!$M26,0)))</f>
        <v>0</v>
      </c>
      <c r="AK36" s="35">
        <f>IF(AK$5="Actual",SUMIFS(Outflows!$L$7:$L$163,Outflows!$H$7:$H$163,$A36,Outflows!$M$7:$M$163,AK$6),IF($A36="Sales VAT",SUM(AK$8:AK$12)*Inputs!$B$7/(1+Inputs!$B$7),IF(AND(AK$6&gt;=$E36,AK$6&lt;=$F36,Budget!$M26&gt;0),$D36/Budget!$M26,0)))</f>
        <v>0</v>
      </c>
      <c r="AL36" s="35">
        <f>IF(AL$5="Actual",SUMIFS(Outflows!$L$7:$L$163,Outflows!$H$7:$H$163,$A36,Outflows!$M$7:$M$163,AL$6),IF($A36="Sales VAT",SUM(AL$8:AL$12)*Inputs!$B$7/(1+Inputs!$B$7),IF(AND(AL$6&gt;=$E36,AL$6&lt;=$F36,Budget!$M26&gt;0),$D36/Budget!$M26,0)))</f>
        <v>0</v>
      </c>
      <c r="AM36" s="35">
        <f>IF(AM$5="Actual",SUMIFS(Outflows!$L$7:$L$163,Outflows!$H$7:$H$163,$A36,Outflows!$M$7:$M$163,AM$6),IF($A36="Sales VAT",SUM(AM$8:AM$12)*Inputs!$B$7/(1+Inputs!$B$7),IF(AND(AM$6&gt;=$E36,AM$6&lt;=$F36,Budget!$M26&gt;0),$D36/Budget!$M26,0)))</f>
        <v>0</v>
      </c>
      <c r="AN36" s="35">
        <f>IF(AN$5="Actual",SUMIFS(Outflows!$L$7:$L$163,Outflows!$H$7:$H$163,$A36,Outflows!$M$7:$M$163,AN$6),IF($A36="Sales VAT",SUM(AN$8:AN$12)*Inputs!$B$7/(1+Inputs!$B$7),IF(AND(AN$6&gt;=$E36,AN$6&lt;=$F36,Budget!$M26&gt;0),$D36/Budget!$M26,0)))</f>
        <v>0</v>
      </c>
      <c r="AO36" s="35">
        <f>IF(AO$5="Actual",SUMIFS(Outflows!$L$7:$L$163,Outflows!$H$7:$H$163,$A36,Outflows!$M$7:$M$163,AO$6),IF($A36="Sales VAT",SUM(AO$8:AO$12)*Inputs!$B$7/(1+Inputs!$B$7),IF(AND(AO$6&gt;=$E36,AO$6&lt;=$F36,Budget!$M26&gt;0),$D36/Budget!$M26,0)))</f>
        <v>0</v>
      </c>
      <c r="AP36" s="35">
        <f>IF(AP$5="Actual",SUMIFS(Outflows!$L$7:$L$163,Outflows!$H$7:$H$163,$A36,Outflows!$M$7:$M$163,AP$6),IF($A36="Sales VAT",SUM(AP$8:AP$12)*Inputs!$B$7/(1+Inputs!$B$7),IF(AND(AP$6&gt;=$E36,AP$6&lt;=$F36,Budget!$M26&gt;0),$D36/Budget!$M26,0)))</f>
        <v>0</v>
      </c>
      <c r="AQ36" s="35">
        <f>IF(AQ$5="Actual",SUMIFS(Outflows!$L$7:$L$163,Outflows!$H$7:$H$163,$A36,Outflows!$M$7:$M$163,AQ$6),IF($A36="Sales VAT",SUM(AQ$8:AQ$12)*Inputs!$B$7/(1+Inputs!$B$7),IF(AND(AQ$6&gt;=$E36,AQ$6&lt;=$F36,Budget!$M26&gt;0),$D36/Budget!$M26,0)))</f>
        <v>0</v>
      </c>
      <c r="AR36" s="35">
        <f>IF(AR$5="Actual",SUMIFS(Outflows!$L$7:$L$163,Outflows!$H$7:$H$163,$A36,Outflows!$M$7:$M$163,AR$6),IF($A36="Sales VAT",SUM(AR$8:AR$12)*Inputs!$B$7/(1+Inputs!$B$7),IF(AND(AR$6&gt;=$E36,AR$6&lt;=$F36,Budget!$M26&gt;0),$D36/Budget!$M26,0)))</f>
        <v>0</v>
      </c>
      <c r="AS36" s="35">
        <f>IF(AS$5="Actual",SUMIFS(Outflows!$L$7:$L$163,Outflows!$H$7:$H$163,$A36,Outflows!$M$7:$M$163,AS$6),IF($A36="Sales VAT",SUM(AS$8:AS$12)*Inputs!$B$7/(1+Inputs!$B$7),IF(AND(AS$6&gt;=$E36,AS$6&lt;=$F36,Budget!$M26&gt;0),$D36/Budget!$M26,0)))</f>
        <v>0</v>
      </c>
      <c r="AT36" s="35">
        <f>IF(AT$5="Actual",SUMIFS(Outflows!$L$7:$L$163,Outflows!$H$7:$H$163,$A36,Outflows!$M$7:$M$163,AT$6),IF($A36="Sales VAT",SUM(AT$8:AT$12)*Inputs!$B$7/(1+Inputs!$B$7),IF(AND(AT$6&gt;=$E36,AT$6&lt;=$F36,Budget!$M26&gt;0),$D36/Budget!$M26,0)))</f>
        <v>0</v>
      </c>
      <c r="AU36" s="35">
        <f>IF(AU$5="Actual",SUMIFS(Outflows!$L$7:$L$163,Outflows!$H$7:$H$163,$A36,Outflows!$M$7:$M$163,AU$6),IF($A36="Sales VAT",SUM(AU$8:AU$12)*Inputs!$B$7/(1+Inputs!$B$7),IF(AND(AU$6&gt;=$E36,AU$6&lt;=$F36,Budget!$M26&gt;0),$D36/Budget!$M26,0)))</f>
        <v>0</v>
      </c>
      <c r="AV36" s="35">
        <f>IF(AV$5="Actual",SUMIFS(Outflows!$L$7:$L$163,Outflows!$H$7:$H$163,$A36,Outflows!$M$7:$M$163,AV$6),IF($A36="Sales VAT",SUM(AV$8:AV$12)*Inputs!$B$7/(1+Inputs!$B$7),IF(AND(AV$6&gt;=$E36,AV$6&lt;=$F36,Budget!$M26&gt;0),$D36/Budget!$M26,0)))</f>
        <v>0</v>
      </c>
      <c r="AW36" s="35">
        <f>IF(AW$5="Actual",SUMIFS(Outflows!$L$7:$L$163,Outflows!$H$7:$H$163,$A36,Outflows!$M$7:$M$163,AW$6),IF($A36="Sales VAT",SUM(AW$8:AW$12)*Inputs!$B$7/(1+Inputs!$B$7),IF(AND(AW$6&gt;=$E36,AW$6&lt;=$F36,Budget!$M26&gt;0),$D36/Budget!$M26,0)))</f>
        <v>0</v>
      </c>
      <c r="AX36" s="35">
        <f>IF(AX$5="Actual",SUMIFS(Outflows!$L$7:$L$163,Outflows!$H$7:$H$163,$A36,Outflows!$M$7:$M$163,AX$6),IF($A36="Sales VAT",SUM(AX$8:AX$12)*Inputs!$B$7/(1+Inputs!$B$7),IF(AND(AX$6&gt;=$E36,AX$6&lt;=$F36,Budget!$M26&gt;0),$D36/Budget!$M26,0)))</f>
        <v>0</v>
      </c>
      <c r="AY36" s="35">
        <f>IF(AY$5="Actual",SUMIFS(Outflows!$L$7:$L$163,Outflows!$H$7:$H$163,$A36,Outflows!$M$7:$M$163,AY$6),IF($A36="Sales VAT",SUM(AY$8:AY$12)*Inputs!$B$7/(1+Inputs!$B$7),IF(AND(AY$6&gt;=$E36,AY$6&lt;=$F36,Budget!$M26&gt;0),$D36/Budget!$M26,0)))</f>
        <v>0</v>
      </c>
      <c r="AZ36" s="35">
        <f>IF(AZ$5="Actual",SUMIFS(Outflows!$L$7:$L$163,Outflows!$H$7:$H$163,$A36,Outflows!$M$7:$M$163,AZ$6),IF($A36="Sales VAT",SUM(AZ$8:AZ$12)*Inputs!$B$7/(1+Inputs!$B$7),IF(AND(AZ$6&gt;=$E36,AZ$6&lt;=$F36,Budget!$M26&gt;0),$D36/Budget!$M26,0)))</f>
        <v>0</v>
      </c>
      <c r="BA36" s="35">
        <f>IF(BA$5="Actual",SUMIFS(Outflows!$L$7:$L$163,Outflows!$H$7:$H$163,$A36,Outflows!$M$7:$M$163,BA$6),IF($A36="Sales VAT",SUM(BA$8:BA$12)*Inputs!$B$7/(1+Inputs!$B$7),IF(AND(BA$6&gt;=$E36,BA$6&lt;=$F36,Budget!$M26&gt;0),$D36/Budget!$M26,0)))</f>
        <v>0</v>
      </c>
    </row>
    <row r="37" spans="1:53">
      <c r="A37" s="6" t="str">
        <f>Budget!C27</f>
        <v>Staff</v>
      </c>
      <c r="B37" s="35">
        <f>Budget!G27</f>
        <v>126198.65333299999</v>
      </c>
      <c r="C37" s="35">
        <f>Budget!H27</f>
        <v>0</v>
      </c>
      <c r="D37" s="35">
        <f>Budget!I27</f>
        <v>126198.65333299999</v>
      </c>
      <c r="E37" s="61">
        <f>Budget!K27</f>
        <v>45292</v>
      </c>
      <c r="F37" s="61">
        <f>Budget!L27</f>
        <v>45901</v>
      </c>
      <c r="G37" s="35">
        <f>IF(G$5="Actual",SUMIFS(Outflows!$L$7:$L$163,Outflows!$H$7:$H$163,$A37,Outflows!$M$7:$M$163,G$6),IF($A37="Sales VAT",SUM(G$8:G$12)*Inputs!$B$7/(1+Inputs!$B$7),IF(AND(G$6&gt;=$E37,G$6&lt;=$F37,Budget!$M27&gt;0),$D37/Budget!$M27,0)))</f>
        <v>0</v>
      </c>
      <c r="H37" s="35">
        <f>IF(H$5="Actual",SUMIFS(Outflows!$L$7:$L$163,Outflows!$H$7:$H$163,$A37,Outflows!$M$7:$M$163,H$6),IF($A37="Sales VAT",SUM(H$8:H$12)*Inputs!$B$7/(1+Inputs!$B$7),IF(AND(H$6&gt;=$E37,H$6&lt;=$F37,Budget!$M27&gt;0),$D37/Budget!$M27,0)))</f>
        <v>0</v>
      </c>
      <c r="I37" s="35">
        <f>IF(I$5="Actual",SUMIFS(Outflows!$L$7:$L$163,Outflows!$H$7:$H$163,$A37,Outflows!$M$7:$M$163,I$6),IF($A37="Sales VAT",SUM(I$8:I$12)*Inputs!$B$7/(1+Inputs!$B$7),IF(AND(I$6&gt;=$E37,I$6&lt;=$F37,Budget!$M27&gt;0),$D37/Budget!$M27,0)))</f>
        <v>0</v>
      </c>
      <c r="J37" s="35">
        <f>IF(J$5="Actual",SUMIFS(Outflows!$L$7:$L$163,Outflows!$H$7:$H$163,$A37,Outflows!$M$7:$M$163,J$6),IF($A37="Sales VAT",SUM(J$8:J$12)*Inputs!$B$7/(1+Inputs!$B$7),IF(AND(J$6&gt;=$E37,J$6&lt;=$F37,Budget!$M27&gt;0),$D37/Budget!$M27,0)))</f>
        <v>0</v>
      </c>
      <c r="K37" s="35">
        <f>IF(K$5="Actual",SUMIFS(Outflows!$L$7:$L$163,Outflows!$H$7:$H$163,$A37,Outflows!$M$7:$M$163,K$6),IF($A37="Sales VAT",SUM(K$8:K$12)*Inputs!$B$7/(1+Inputs!$B$7),IF(AND(K$6&gt;=$E37,K$6&lt;=$F37,Budget!$M27&gt;0),$D37/Budget!$M27,0)))</f>
        <v>0</v>
      </c>
      <c r="L37" s="35">
        <f>IF(L$5="Actual",SUMIFS(Outflows!$L$7:$L$163,Outflows!$H$7:$H$163,$A37,Outflows!$M$7:$M$163,L$6),IF($A37="Sales VAT",SUM(L$8:L$12)*Inputs!$B$7/(1+Inputs!$B$7),IF(AND(L$6&gt;=$E37,L$6&lt;=$F37,Budget!$M27&gt;0),$D37/Budget!$M27,0)))</f>
        <v>0</v>
      </c>
      <c r="M37" s="35">
        <f>IF(M$5="Actual",SUMIFS(Outflows!$L$7:$L$163,Outflows!$H$7:$H$163,$A37,Outflows!$M$7:$M$163,M$6),IF($A37="Sales VAT",SUM(M$8:M$12)*Inputs!$B$7/(1+Inputs!$B$7),IF(AND(M$6&gt;=$E37,M$6&lt;=$F37,Budget!$M27&gt;0),$D37/Budget!$M27,0)))</f>
        <v>0</v>
      </c>
      <c r="N37" s="35">
        <f>IF(N$5="Actual",SUMIFS(Outflows!$L$7:$L$163,Outflows!$H$7:$H$163,$A37,Outflows!$M$7:$M$163,N$6),IF($A37="Sales VAT",SUM(N$8:N$12)*Inputs!$B$7/(1+Inputs!$B$7),IF(AND(N$6&gt;=$E37,N$6&lt;=$F37,Budget!$M27&gt;0),$D37/Budget!$M27,0)))</f>
        <v>0</v>
      </c>
      <c r="O37" s="35">
        <f>IF(O$5="Actual",SUMIFS(Outflows!$L$7:$L$163,Outflows!$H$7:$H$163,$A37,Outflows!$M$7:$M$163,O$6),IF($A37="Sales VAT",SUM(O$8:O$12)*Inputs!$B$7/(1+Inputs!$B$7),IF(AND(O$6&gt;=$E37,O$6&lt;=$F37,Budget!$M27&gt;0),$D37/Budget!$M27,0)))</f>
        <v>0</v>
      </c>
      <c r="P37" s="35">
        <f>IF(P$5="Actual",SUMIFS(Outflows!$L$7:$L$163,Outflows!$H$7:$H$163,$A37,Outflows!$M$7:$M$163,P$6),IF($A37="Sales VAT",SUM(P$8:P$12)*Inputs!$B$7/(1+Inputs!$B$7),IF(AND(P$6&gt;=$E37,P$6&lt;=$F37,Budget!$M27&gt;0),$D37/Budget!$M27,0)))</f>
        <v>0</v>
      </c>
      <c r="Q37" s="35">
        <f>IF(Q$5="Actual",SUMIFS(Outflows!$L$7:$L$163,Outflows!$H$7:$H$163,$A37,Outflows!$M$7:$M$163,Q$6),IF($A37="Sales VAT",SUM(Q$8:Q$12)*Inputs!$B$7/(1+Inputs!$B$7),IF(AND(Q$6&gt;=$E37,Q$6&lt;=$F37,Budget!$M27&gt;0),$D37/Budget!$M27,0)))</f>
        <v>0</v>
      </c>
      <c r="R37" s="35">
        <f>IF(R$5="Actual",SUMIFS(Outflows!$L$7:$L$163,Outflows!$H$7:$H$163,$A37,Outflows!$M$7:$M$163,R$6),IF($A37="Sales VAT",SUM(R$8:R$12)*Inputs!$B$7/(1+Inputs!$B$7),IF(AND(R$6&gt;=$E37,R$6&lt;=$F37,Budget!$M27&gt;0),$D37/Budget!$M27,0)))</f>
        <v>0</v>
      </c>
      <c r="S37" s="35">
        <f>IF(S$5="Actual",SUMIFS(Outflows!$L$7:$L$163,Outflows!$H$7:$H$163,$A37,Outflows!$M$7:$M$163,S$6),IF($A37="Sales VAT",SUM(S$8:S$12)*Inputs!$B$7/(1+Inputs!$B$7),IF(AND(S$6&gt;=$E37,S$6&lt;=$F37,Budget!$M27&gt;0),$D37/Budget!$M27,0)))</f>
        <v>0</v>
      </c>
      <c r="T37" s="35">
        <f>IF(T$5="Actual",SUMIFS(Outflows!$L$7:$L$163,Outflows!$H$7:$H$163,$A37,Outflows!$M$7:$M$163,T$6),IF($A37="Sales VAT",SUM(T$8:T$12)*Inputs!$B$7/(1+Inputs!$B$7),IF(AND(T$6&gt;=$E37,T$6&lt;=$F37,Budget!$M27&gt;0),$D37/Budget!$M27,0)))</f>
        <v>0</v>
      </c>
      <c r="U37" s="35">
        <f>IF(U$5="Actual",SUMIFS(Outflows!$L$7:$L$163,Outflows!$H$7:$H$163,$A37,Outflows!$M$7:$M$163,U$6),IF($A37="Sales VAT",SUM(U$8:U$12)*Inputs!$B$7/(1+Inputs!$B$7),IF(AND(U$6&gt;=$E37,U$6&lt;=$F37,Budget!$M27&gt;0),$D37/Budget!$M27,0)))</f>
        <v>0</v>
      </c>
      <c r="V37" s="35">
        <f>IF(V$5="Actual",SUMIFS(Outflows!$L$7:$L$163,Outflows!$H$7:$H$163,$A37,Outflows!$M$7:$M$163,V$6),IF($A37="Sales VAT",SUM(V$8:V$12)*Inputs!$B$7/(1+Inputs!$B$7),IF(AND(V$6&gt;=$E37,V$6&lt;=$F37,Budget!$M27&gt;0),$D37/Budget!$M27,0)))</f>
        <v>0</v>
      </c>
      <c r="W37" s="35">
        <f>IF(W$5="Actual",SUMIFS(Outflows!$L$7:$L$163,Outflows!$H$7:$H$163,$A37,Outflows!$M$7:$M$163,W$6),IF($A37="Sales VAT",SUM(W$8:W$12)*Inputs!$B$7/(1+Inputs!$B$7),IF(AND(W$6&gt;=$E37,W$6&lt;=$F37,Budget!$M27&gt;0),$D37/Budget!$M27,0)))</f>
        <v>0</v>
      </c>
      <c r="X37" s="35">
        <f>IF(X$5="Actual",SUMIFS(Outflows!$L$7:$L$163,Outflows!$H$7:$H$163,$A37,Outflows!$M$7:$M$163,X$6),IF($A37="Sales VAT",SUM(X$8:X$12)*Inputs!$B$7/(1+Inputs!$B$7),IF(AND(X$6&gt;=$E37,X$6&lt;=$F37,Budget!$M27&gt;0),$D37/Budget!$M27,0)))</f>
        <v>0</v>
      </c>
      <c r="Y37" s="35">
        <f>IF(Y$5="Actual",SUMIFS(Outflows!$L$7:$L$163,Outflows!$H$7:$H$163,$A37,Outflows!$M$7:$M$163,Y$6),IF($A37="Sales VAT",SUM(Y$8:Y$12)*Inputs!$B$7/(1+Inputs!$B$7),IF(AND(Y$6&gt;=$E37,Y$6&lt;=$F37,Budget!$M27&gt;0),$D37/Budget!$M27,0)))</f>
        <v>0</v>
      </c>
      <c r="Z37" s="35">
        <f>IF(Z$5="Actual",SUMIFS(Outflows!$L$7:$L$163,Outflows!$H$7:$H$163,$A37,Outflows!$M$7:$M$163,Z$6),IF($A37="Sales VAT",SUM(Z$8:Z$12)*Inputs!$B$7/(1+Inputs!$B$7),IF(AND(Z$6&gt;=$E37,Z$6&lt;=$F37,Budget!$M27&gt;0),$D37/Budget!$M27,0)))</f>
        <v>0</v>
      </c>
      <c r="AA37" s="35">
        <f>IF(AA$5="Actual",SUMIFS(Outflows!$L$7:$L$163,Outflows!$H$7:$H$163,$A37,Outflows!$M$7:$M$163,AA$6),IF($A37="Sales VAT",SUM(AA$8:AA$12)*Inputs!$B$7/(1+Inputs!$B$7),IF(AND(AA$6&gt;=$E37,AA$6&lt;=$F37,Budget!$M27&gt;0),$D37/Budget!$M27,0)))</f>
        <v>0</v>
      </c>
      <c r="AB37" s="35">
        <f>IF(AB$5="Actual",SUMIFS(Outflows!$L$7:$L$163,Outflows!$H$7:$H$163,$A37,Outflows!$M$7:$M$163,AB$6),IF($A37="Sales VAT",SUM(AB$8:AB$12)*Inputs!$B$7/(1+Inputs!$B$7),IF(AND(AB$6&gt;=$E37,AB$6&lt;=$F37,Budget!$M27&gt;0),$D37/Budget!$M27,0)))</f>
        <v>0</v>
      </c>
      <c r="AC37" s="35">
        <f>IF(AC$5="Actual",SUMIFS(Outflows!$L$7:$L$163,Outflows!$H$7:$H$163,$A37,Outflows!$M$7:$M$163,AC$6),IF($A37="Sales VAT",SUM(AC$8:AC$12)*Inputs!$B$7/(1+Inputs!$B$7),IF(AND(AC$6&gt;=$E37,AC$6&lt;=$F37,Budget!$M27&gt;0),$D37/Budget!$M27,0)))</f>
        <v>0</v>
      </c>
      <c r="AD37" s="35">
        <f>IF(AD$5="Actual",SUMIFS(Outflows!$L$7:$L$163,Outflows!$H$7:$H$163,$A37,Outflows!$M$7:$M$163,AD$6),IF($A37="Sales VAT",SUM(AD$8:AD$12)*Inputs!$B$7/(1+Inputs!$B$7),IF(AND(AD$6&gt;=$E37,AD$6&lt;=$F37,Budget!$M27&gt;0),$D37/Budget!$M27,0)))</f>
        <v>6009.4596825238095</v>
      </c>
      <c r="AE37" s="35">
        <f>IF(AE$5="Actual",SUMIFS(Outflows!$L$7:$L$163,Outflows!$H$7:$H$163,$A37,Outflows!$M$7:$M$163,AE$6),IF($A37="Sales VAT",SUM(AE$8:AE$12)*Inputs!$B$7/(1+Inputs!$B$7),IF(AND(AE$6&gt;=$E37,AE$6&lt;=$F37,Budget!$M27&gt;0),$D37/Budget!$M27,0)))</f>
        <v>6009.4596825238095</v>
      </c>
      <c r="AF37" s="35">
        <f>IF(AF$5="Actual",SUMIFS(Outflows!$L$7:$L$163,Outflows!$H$7:$H$163,$A37,Outflows!$M$7:$M$163,AF$6),IF($A37="Sales VAT",SUM(AF$8:AF$12)*Inputs!$B$7/(1+Inputs!$B$7),IF(AND(AF$6&gt;=$E37,AF$6&lt;=$F37,Budget!$M27&gt;0),$D37/Budget!$M27,0)))</f>
        <v>6009.4596825238095</v>
      </c>
      <c r="AG37" s="35">
        <f>IF(AG$5="Actual",SUMIFS(Outflows!$L$7:$L$163,Outflows!$H$7:$H$163,$A37,Outflows!$M$7:$M$163,AG$6),IF($A37="Sales VAT",SUM(AG$8:AG$12)*Inputs!$B$7/(1+Inputs!$B$7),IF(AND(AG$6&gt;=$E37,AG$6&lt;=$F37,Budget!$M27&gt;0),$D37/Budget!$M27,0)))</f>
        <v>6009.4596825238095</v>
      </c>
      <c r="AH37" s="35">
        <f>IF(AH$5="Actual",SUMIFS(Outflows!$L$7:$L$163,Outflows!$H$7:$H$163,$A37,Outflows!$M$7:$M$163,AH$6),IF($A37="Sales VAT",SUM(AH$8:AH$12)*Inputs!$B$7/(1+Inputs!$B$7),IF(AND(AH$6&gt;=$E37,AH$6&lt;=$F37,Budget!$M27&gt;0),$D37/Budget!$M27,0)))</f>
        <v>6009.4596825238095</v>
      </c>
      <c r="AI37" s="35">
        <f>IF(AI$5="Actual",SUMIFS(Outflows!$L$7:$L$163,Outflows!$H$7:$H$163,$A37,Outflows!$M$7:$M$163,AI$6),IF($A37="Sales VAT",SUM(AI$8:AI$12)*Inputs!$B$7/(1+Inputs!$B$7),IF(AND(AI$6&gt;=$E37,AI$6&lt;=$F37,Budget!$M27&gt;0),$D37/Budget!$M27,0)))</f>
        <v>6009.4596825238095</v>
      </c>
      <c r="AJ37" s="35">
        <f>IF(AJ$5="Actual",SUMIFS(Outflows!$L$7:$L$163,Outflows!$H$7:$H$163,$A37,Outflows!$M$7:$M$163,AJ$6),IF($A37="Sales VAT",SUM(AJ$8:AJ$12)*Inputs!$B$7/(1+Inputs!$B$7),IF(AND(AJ$6&gt;=$E37,AJ$6&lt;=$F37,Budget!$M27&gt;0),$D37/Budget!$M27,0)))</f>
        <v>6009.4596825238095</v>
      </c>
      <c r="AK37" s="35">
        <f>IF(AK$5="Actual",SUMIFS(Outflows!$L$7:$L$163,Outflows!$H$7:$H$163,$A37,Outflows!$M$7:$M$163,AK$6),IF($A37="Sales VAT",SUM(AK$8:AK$12)*Inputs!$B$7/(1+Inputs!$B$7),IF(AND(AK$6&gt;=$E37,AK$6&lt;=$F37,Budget!$M27&gt;0),$D37/Budget!$M27,0)))</f>
        <v>6009.4596825238095</v>
      </c>
      <c r="AL37" s="35">
        <f>IF(AL$5="Actual",SUMIFS(Outflows!$L$7:$L$163,Outflows!$H$7:$H$163,$A37,Outflows!$M$7:$M$163,AL$6),IF($A37="Sales VAT",SUM(AL$8:AL$12)*Inputs!$B$7/(1+Inputs!$B$7),IF(AND(AL$6&gt;=$E37,AL$6&lt;=$F37,Budget!$M27&gt;0),$D37/Budget!$M27,0)))</f>
        <v>6009.4596825238095</v>
      </c>
      <c r="AM37" s="35">
        <f>IF(AM$5="Actual",SUMIFS(Outflows!$L$7:$L$163,Outflows!$H$7:$H$163,$A37,Outflows!$M$7:$M$163,AM$6),IF($A37="Sales VAT",SUM(AM$8:AM$12)*Inputs!$B$7/(1+Inputs!$B$7),IF(AND(AM$6&gt;=$E37,AM$6&lt;=$F37,Budget!$M27&gt;0),$D37/Budget!$M27,0)))</f>
        <v>6009.4596825238095</v>
      </c>
      <c r="AN37" s="35">
        <f>IF(AN$5="Actual",SUMIFS(Outflows!$L$7:$L$163,Outflows!$H$7:$H$163,$A37,Outflows!$M$7:$M$163,AN$6),IF($A37="Sales VAT",SUM(AN$8:AN$12)*Inputs!$B$7/(1+Inputs!$B$7),IF(AND(AN$6&gt;=$E37,AN$6&lt;=$F37,Budget!$M27&gt;0),$D37/Budget!$M27,0)))</f>
        <v>6009.4596825238095</v>
      </c>
      <c r="AO37" s="35">
        <f>IF(AO$5="Actual",SUMIFS(Outflows!$L$7:$L$163,Outflows!$H$7:$H$163,$A37,Outflows!$M$7:$M$163,AO$6),IF($A37="Sales VAT",SUM(AO$8:AO$12)*Inputs!$B$7/(1+Inputs!$B$7),IF(AND(AO$6&gt;=$E37,AO$6&lt;=$F37,Budget!$M27&gt;0),$D37/Budget!$M27,0)))</f>
        <v>6009.4596825238095</v>
      </c>
      <c r="AP37" s="35">
        <f>IF(AP$5="Actual",SUMIFS(Outflows!$L$7:$L$163,Outflows!$H$7:$H$163,$A37,Outflows!$M$7:$M$163,AP$6),IF($A37="Sales VAT",SUM(AP$8:AP$12)*Inputs!$B$7/(1+Inputs!$B$7),IF(AND(AP$6&gt;=$E37,AP$6&lt;=$F37,Budget!$M27&gt;0),$D37/Budget!$M27,0)))</f>
        <v>6009.4596825238095</v>
      </c>
      <c r="AQ37" s="35">
        <f>IF(AQ$5="Actual",SUMIFS(Outflows!$L$7:$L$163,Outflows!$H$7:$H$163,$A37,Outflows!$M$7:$M$163,AQ$6),IF($A37="Sales VAT",SUM(AQ$8:AQ$12)*Inputs!$B$7/(1+Inputs!$B$7),IF(AND(AQ$6&gt;=$E37,AQ$6&lt;=$F37,Budget!$M27&gt;0),$D37/Budget!$M27,0)))</f>
        <v>6009.4596825238095</v>
      </c>
      <c r="AR37" s="35">
        <f>IF(AR$5="Actual",SUMIFS(Outflows!$L$7:$L$163,Outflows!$H$7:$H$163,$A37,Outflows!$M$7:$M$163,AR$6),IF($A37="Sales VAT",SUM(AR$8:AR$12)*Inputs!$B$7/(1+Inputs!$B$7),IF(AND(AR$6&gt;=$E37,AR$6&lt;=$F37,Budget!$M27&gt;0),$D37/Budget!$M27,0)))</f>
        <v>6009.4596825238095</v>
      </c>
      <c r="AS37" s="35">
        <f>IF(AS$5="Actual",SUMIFS(Outflows!$L$7:$L$163,Outflows!$H$7:$H$163,$A37,Outflows!$M$7:$M$163,AS$6),IF($A37="Sales VAT",SUM(AS$8:AS$12)*Inputs!$B$7/(1+Inputs!$B$7),IF(AND(AS$6&gt;=$E37,AS$6&lt;=$F37,Budget!$M27&gt;0),$D37/Budget!$M27,0)))</f>
        <v>6009.4596825238095</v>
      </c>
      <c r="AT37" s="35">
        <f>IF(AT$5="Actual",SUMIFS(Outflows!$L$7:$L$163,Outflows!$H$7:$H$163,$A37,Outflows!$M$7:$M$163,AT$6),IF($A37="Sales VAT",SUM(AT$8:AT$12)*Inputs!$B$7/(1+Inputs!$B$7),IF(AND(AT$6&gt;=$E37,AT$6&lt;=$F37,Budget!$M27&gt;0),$D37/Budget!$M27,0)))</f>
        <v>6009.4596825238095</v>
      </c>
      <c r="AU37" s="35">
        <f>IF(AU$5="Actual",SUMIFS(Outflows!$L$7:$L$163,Outflows!$H$7:$H$163,$A37,Outflows!$M$7:$M$163,AU$6),IF($A37="Sales VAT",SUM(AU$8:AU$12)*Inputs!$B$7/(1+Inputs!$B$7),IF(AND(AU$6&gt;=$E37,AU$6&lt;=$F37,Budget!$M27&gt;0),$D37/Budget!$M27,0)))</f>
        <v>6009.4596825238095</v>
      </c>
      <c r="AV37" s="35">
        <f>IF(AV$5="Actual",SUMIFS(Outflows!$L$7:$L$163,Outflows!$H$7:$H$163,$A37,Outflows!$M$7:$M$163,AV$6),IF($A37="Sales VAT",SUM(AV$8:AV$12)*Inputs!$B$7/(1+Inputs!$B$7),IF(AND(AV$6&gt;=$E37,AV$6&lt;=$F37,Budget!$M27&gt;0),$D37/Budget!$M27,0)))</f>
        <v>6009.4596825238095</v>
      </c>
      <c r="AW37" s="35">
        <f>IF(AW$5="Actual",SUMIFS(Outflows!$L$7:$L$163,Outflows!$H$7:$H$163,$A37,Outflows!$M$7:$M$163,AW$6),IF($A37="Sales VAT",SUM(AW$8:AW$12)*Inputs!$B$7/(1+Inputs!$B$7),IF(AND(AW$6&gt;=$E37,AW$6&lt;=$F37,Budget!$M27&gt;0),$D37/Budget!$M27,0)))</f>
        <v>6009.4596825238095</v>
      </c>
      <c r="AX37" s="35">
        <f>IF(AX$5="Actual",SUMIFS(Outflows!$L$7:$L$163,Outflows!$H$7:$H$163,$A37,Outflows!$M$7:$M$163,AX$6),IF($A37="Sales VAT",SUM(AX$8:AX$12)*Inputs!$B$7/(1+Inputs!$B$7),IF(AND(AX$6&gt;=$E37,AX$6&lt;=$F37,Budget!$M27&gt;0),$D37/Budget!$M27,0)))</f>
        <v>6009.4596825238095</v>
      </c>
      <c r="AY37" s="35">
        <f>IF(AY$5="Actual",SUMIFS(Outflows!$L$7:$L$163,Outflows!$H$7:$H$163,$A37,Outflows!$M$7:$M$163,AY$6),IF($A37="Sales VAT",SUM(AY$8:AY$12)*Inputs!$B$7/(1+Inputs!$B$7),IF(AND(AY$6&gt;=$E37,AY$6&lt;=$F37,Budget!$M27&gt;0),$D37/Budget!$M27,0)))</f>
        <v>0</v>
      </c>
      <c r="AZ37" s="35">
        <f>IF(AZ$5="Actual",SUMIFS(Outflows!$L$7:$L$163,Outflows!$H$7:$H$163,$A37,Outflows!$M$7:$M$163,AZ$6),IF($A37="Sales VAT",SUM(AZ$8:AZ$12)*Inputs!$B$7/(1+Inputs!$B$7),IF(AND(AZ$6&gt;=$E37,AZ$6&lt;=$F37,Budget!$M27&gt;0),$D37/Budget!$M27,0)))</f>
        <v>0</v>
      </c>
      <c r="BA37" s="35">
        <f>IF(BA$5="Actual",SUMIFS(Outflows!$L$7:$L$163,Outflows!$H$7:$H$163,$A37,Outflows!$M$7:$M$163,BA$6),IF($A37="Sales VAT",SUM(BA$8:BA$12)*Inputs!$B$7/(1+Inputs!$B$7),IF(AND(BA$6&gt;=$E37,BA$6&lt;=$F37,Budget!$M27&gt;0),$D37/Budget!$M27,0)))</f>
        <v>0</v>
      </c>
    </row>
    <row r="38" spans="1:53">
      <c r="A38" s="6" t="str">
        <f>Budget!C28</f>
        <v>A&amp;G Allocation</v>
      </c>
      <c r="B38" s="35">
        <f>Budget!G28</f>
        <v>907500</v>
      </c>
      <c r="C38" s="35">
        <f>Budget!H28</f>
        <v>330000</v>
      </c>
      <c r="D38" s="35">
        <f>Budget!I28</f>
        <v>577500</v>
      </c>
      <c r="E38" s="61">
        <f>Budget!K28</f>
        <v>45292</v>
      </c>
      <c r="F38" s="61">
        <f>Budget!L28</f>
        <v>45901</v>
      </c>
      <c r="G38" s="35">
        <f>IF(G$5="Actual",SUMIFS(Outflows!$L$7:$L$163,Outflows!$H$7:$H$163,$A38,Outflows!$M$7:$M$163,G$6),IF($A38="Sales VAT",SUM(G$8:G$12)*Inputs!$B$7/(1+Inputs!$B$7),IF(AND(G$6&gt;=$E38,G$6&lt;=$F38,Budget!$M28&gt;0),$D38/Budget!$M28,0)))</f>
        <v>0</v>
      </c>
      <c r="H38" s="35">
        <f>IF(H$5="Actual",SUMIFS(Outflows!$L$7:$L$163,Outflows!$H$7:$H$163,$A38,Outflows!$M$7:$M$163,H$6),IF($A38="Sales VAT",SUM(H$8:H$12)*Inputs!$B$7/(1+Inputs!$B$7),IF(AND(H$6&gt;=$E38,H$6&lt;=$F38,Budget!$M28&gt;0),$D38/Budget!$M28,0)))</f>
        <v>0</v>
      </c>
      <c r="I38" s="35">
        <f>IF(I$5="Actual",SUMIFS(Outflows!$L$7:$L$163,Outflows!$H$7:$H$163,$A38,Outflows!$M$7:$M$163,I$6),IF($A38="Sales VAT",SUM(I$8:I$12)*Inputs!$B$7/(1+Inputs!$B$7),IF(AND(I$6&gt;=$E38,I$6&lt;=$F38,Budget!$M28&gt;0),$D38/Budget!$M28,0)))</f>
        <v>0</v>
      </c>
      <c r="J38" s="35">
        <f>IF(J$5="Actual",SUMIFS(Outflows!$L$7:$L$163,Outflows!$H$7:$H$163,$A38,Outflows!$M$7:$M$163,J$6),IF($A38="Sales VAT",SUM(J$8:J$12)*Inputs!$B$7/(1+Inputs!$B$7),IF(AND(J$6&gt;=$E38,J$6&lt;=$F38,Budget!$M28&gt;0),$D38/Budget!$M28,0)))</f>
        <v>0</v>
      </c>
      <c r="K38" s="35">
        <f>IF(K$5="Actual",SUMIFS(Outflows!$L$7:$L$163,Outflows!$H$7:$H$163,$A38,Outflows!$M$7:$M$163,K$6),IF($A38="Sales VAT",SUM(K$8:K$12)*Inputs!$B$7/(1+Inputs!$B$7),IF(AND(K$6&gt;=$E38,K$6&lt;=$F38,Budget!$M28&gt;0),$D38/Budget!$M28,0)))</f>
        <v>0</v>
      </c>
      <c r="L38" s="35">
        <f>IF(L$5="Actual",SUMIFS(Outflows!$L$7:$L$163,Outflows!$H$7:$H$163,$A38,Outflows!$M$7:$M$163,L$6),IF($A38="Sales VAT",SUM(L$8:L$12)*Inputs!$B$7/(1+Inputs!$B$7),IF(AND(L$6&gt;=$E38,L$6&lt;=$F38,Budget!$M28&gt;0),$D38/Budget!$M28,0)))</f>
        <v>0</v>
      </c>
      <c r="M38" s="35">
        <f>IF(M$5="Actual",SUMIFS(Outflows!$L$7:$L$163,Outflows!$H$7:$H$163,$A38,Outflows!$M$7:$M$163,M$6),IF($A38="Sales VAT",SUM(M$8:M$12)*Inputs!$B$7/(1+Inputs!$B$7),IF(AND(M$6&gt;=$E38,M$6&lt;=$F38,Budget!$M28&gt;0),$D38/Budget!$M28,0)))</f>
        <v>0</v>
      </c>
      <c r="N38" s="35">
        <f>IF(N$5="Actual",SUMIFS(Outflows!$L$7:$L$163,Outflows!$H$7:$H$163,$A38,Outflows!$M$7:$M$163,N$6),IF($A38="Sales VAT",SUM(N$8:N$12)*Inputs!$B$7/(1+Inputs!$B$7),IF(AND(N$6&gt;=$E38,N$6&lt;=$F38,Budget!$M28&gt;0),$D38/Budget!$M28,0)))</f>
        <v>0</v>
      </c>
      <c r="O38" s="35">
        <f>IF(O$5="Actual",SUMIFS(Outflows!$L$7:$L$163,Outflows!$H$7:$H$163,$A38,Outflows!$M$7:$M$163,O$6),IF($A38="Sales VAT",SUM(O$8:O$12)*Inputs!$B$7/(1+Inputs!$B$7),IF(AND(O$6&gt;=$E38,O$6&lt;=$F38,Budget!$M28&gt;0),$D38/Budget!$M28,0)))</f>
        <v>0</v>
      </c>
      <c r="P38" s="35">
        <f>IF(P$5="Actual",SUMIFS(Outflows!$L$7:$L$163,Outflows!$H$7:$H$163,$A38,Outflows!$M$7:$M$163,P$6),IF($A38="Sales VAT",SUM(P$8:P$12)*Inputs!$B$7/(1+Inputs!$B$7),IF(AND(P$6&gt;=$E38,P$6&lt;=$F38,Budget!$M28&gt;0),$D38/Budget!$M28,0)))</f>
        <v>0</v>
      </c>
      <c r="Q38" s="35">
        <f>IF(Q$5="Actual",SUMIFS(Outflows!$L$7:$L$163,Outflows!$H$7:$H$163,$A38,Outflows!$M$7:$M$163,Q$6),IF($A38="Sales VAT",SUM(Q$8:Q$12)*Inputs!$B$7/(1+Inputs!$B$7),IF(AND(Q$6&gt;=$E38,Q$6&lt;=$F38,Budget!$M28&gt;0),$D38/Budget!$M28,0)))</f>
        <v>0</v>
      </c>
      <c r="R38" s="35">
        <f>IF(R$5="Actual",SUMIFS(Outflows!$L$7:$L$163,Outflows!$H$7:$H$163,$A38,Outflows!$M$7:$M$163,R$6),IF($A38="Sales VAT",SUM(R$8:R$12)*Inputs!$B$7/(1+Inputs!$B$7),IF(AND(R$6&gt;=$E38,R$6&lt;=$F38,Budget!$M28&gt;0),$D38/Budget!$M28,0)))</f>
        <v>27500</v>
      </c>
      <c r="S38" s="35">
        <f>IF(S$5="Actual",SUMIFS(Outflows!$L$7:$L$163,Outflows!$H$7:$H$163,$A38,Outflows!$M$7:$M$163,S$6),IF($A38="Sales VAT",SUM(S$8:S$12)*Inputs!$B$7/(1+Inputs!$B$7),IF(AND(S$6&gt;=$E38,S$6&lt;=$F38,Budget!$M28&gt;0),$D38/Budget!$M28,0)))</f>
        <v>27500</v>
      </c>
      <c r="T38" s="35">
        <f>IF(T$5="Actual",SUMIFS(Outflows!$L$7:$L$163,Outflows!$H$7:$H$163,$A38,Outflows!$M$7:$M$163,T$6),IF($A38="Sales VAT",SUM(T$8:T$12)*Inputs!$B$7/(1+Inputs!$B$7),IF(AND(T$6&gt;=$E38,T$6&lt;=$F38,Budget!$M28&gt;0),$D38/Budget!$M28,0)))</f>
        <v>27500</v>
      </c>
      <c r="U38" s="35">
        <f>IF(U$5="Actual",SUMIFS(Outflows!$L$7:$L$163,Outflows!$H$7:$H$163,$A38,Outflows!$M$7:$M$163,U$6),IF($A38="Sales VAT",SUM(U$8:U$12)*Inputs!$B$7/(1+Inputs!$B$7),IF(AND(U$6&gt;=$E38,U$6&lt;=$F38,Budget!$M28&gt;0),$D38/Budget!$M28,0)))</f>
        <v>27500</v>
      </c>
      <c r="V38" s="35">
        <f>IF(V$5="Actual",SUMIFS(Outflows!$L$7:$L$163,Outflows!$H$7:$H$163,$A38,Outflows!$M$7:$M$163,V$6),IF($A38="Sales VAT",SUM(V$8:V$12)*Inputs!$B$7/(1+Inputs!$B$7),IF(AND(V$6&gt;=$E38,V$6&lt;=$F38,Budget!$M28&gt;0),$D38/Budget!$M28,0)))</f>
        <v>27500</v>
      </c>
      <c r="W38" s="35">
        <f>IF(W$5="Actual",SUMIFS(Outflows!$L$7:$L$163,Outflows!$H$7:$H$163,$A38,Outflows!$M$7:$M$163,W$6),IF($A38="Sales VAT",SUM(W$8:W$12)*Inputs!$B$7/(1+Inputs!$B$7),IF(AND(W$6&gt;=$E38,W$6&lt;=$F38,Budget!$M28&gt;0),$D38/Budget!$M28,0)))</f>
        <v>27500</v>
      </c>
      <c r="X38" s="35">
        <f>IF(X$5="Actual",SUMIFS(Outflows!$L$7:$L$163,Outflows!$H$7:$H$163,$A38,Outflows!$M$7:$M$163,X$6),IF($A38="Sales VAT",SUM(X$8:X$12)*Inputs!$B$7/(1+Inputs!$B$7),IF(AND(X$6&gt;=$E38,X$6&lt;=$F38,Budget!$M28&gt;0),$D38/Budget!$M28,0)))</f>
        <v>27500</v>
      </c>
      <c r="Y38" s="35">
        <f>IF(Y$5="Actual",SUMIFS(Outflows!$L$7:$L$163,Outflows!$H$7:$H$163,$A38,Outflows!$M$7:$M$163,Y$6),IF($A38="Sales VAT",SUM(Y$8:Y$12)*Inputs!$B$7/(1+Inputs!$B$7),IF(AND(Y$6&gt;=$E38,Y$6&lt;=$F38,Budget!$M28&gt;0),$D38/Budget!$M28,0)))</f>
        <v>27500</v>
      </c>
      <c r="Z38" s="35">
        <f>IF(Z$5="Actual",SUMIFS(Outflows!$L$7:$L$163,Outflows!$H$7:$H$163,$A38,Outflows!$M$7:$M$163,Z$6),IF($A38="Sales VAT",SUM(Z$8:Z$12)*Inputs!$B$7/(1+Inputs!$B$7),IF(AND(Z$6&gt;=$E38,Z$6&lt;=$F38,Budget!$M28&gt;0),$D38/Budget!$M28,0)))</f>
        <v>27500</v>
      </c>
      <c r="AA38" s="35">
        <f>IF(AA$5="Actual",SUMIFS(Outflows!$L$7:$L$163,Outflows!$H$7:$H$163,$A38,Outflows!$M$7:$M$163,AA$6),IF($A38="Sales VAT",SUM(AA$8:AA$12)*Inputs!$B$7/(1+Inputs!$B$7),IF(AND(AA$6&gt;=$E38,AA$6&lt;=$F38,Budget!$M28&gt;0),$D38/Budget!$M28,0)))</f>
        <v>27500</v>
      </c>
      <c r="AB38" s="35">
        <f>IF(AB$5="Actual",SUMIFS(Outflows!$L$7:$L$163,Outflows!$H$7:$H$163,$A38,Outflows!$M$7:$M$163,AB$6),IF($A38="Sales VAT",SUM(AB$8:AB$12)*Inputs!$B$7/(1+Inputs!$B$7),IF(AND(AB$6&gt;=$E38,AB$6&lt;=$F38,Budget!$M28&gt;0),$D38/Budget!$M28,0)))</f>
        <v>27500</v>
      </c>
      <c r="AC38" s="35">
        <f>IF(AC$5="Actual",SUMIFS(Outflows!$L$7:$L$163,Outflows!$H$7:$H$163,$A38,Outflows!$M$7:$M$163,AC$6),IF($A38="Sales VAT",SUM(AC$8:AC$12)*Inputs!$B$7/(1+Inputs!$B$7),IF(AND(AC$6&gt;=$E38,AC$6&lt;=$F38,Budget!$M28&gt;0),$D38/Budget!$M28,0)))</f>
        <v>27500</v>
      </c>
      <c r="AD38" s="35">
        <f>IF(AD$5="Actual",SUMIFS(Outflows!$L$7:$L$163,Outflows!$H$7:$H$163,$A38,Outflows!$M$7:$M$163,AD$6),IF($A38="Sales VAT",SUM(AD$8:AD$12)*Inputs!$B$7/(1+Inputs!$B$7),IF(AND(AD$6&gt;=$E38,AD$6&lt;=$F38,Budget!$M28&gt;0),$D38/Budget!$M28,0)))</f>
        <v>27500</v>
      </c>
      <c r="AE38" s="35">
        <f>IF(AE$5="Actual",SUMIFS(Outflows!$L$7:$L$163,Outflows!$H$7:$H$163,$A38,Outflows!$M$7:$M$163,AE$6),IF($A38="Sales VAT",SUM(AE$8:AE$12)*Inputs!$B$7/(1+Inputs!$B$7),IF(AND(AE$6&gt;=$E38,AE$6&lt;=$F38,Budget!$M28&gt;0),$D38/Budget!$M28,0)))</f>
        <v>27500</v>
      </c>
      <c r="AF38" s="35">
        <f>IF(AF$5="Actual",SUMIFS(Outflows!$L$7:$L$163,Outflows!$H$7:$H$163,$A38,Outflows!$M$7:$M$163,AF$6),IF($A38="Sales VAT",SUM(AF$8:AF$12)*Inputs!$B$7/(1+Inputs!$B$7),IF(AND(AF$6&gt;=$E38,AF$6&lt;=$F38,Budget!$M28&gt;0),$D38/Budget!$M28,0)))</f>
        <v>27500</v>
      </c>
      <c r="AG38" s="35">
        <f>IF(AG$5="Actual",SUMIFS(Outflows!$L$7:$L$163,Outflows!$H$7:$H$163,$A38,Outflows!$M$7:$M$163,AG$6),IF($A38="Sales VAT",SUM(AG$8:AG$12)*Inputs!$B$7/(1+Inputs!$B$7),IF(AND(AG$6&gt;=$E38,AG$6&lt;=$F38,Budget!$M28&gt;0),$D38/Budget!$M28,0)))</f>
        <v>27500</v>
      </c>
      <c r="AH38" s="35">
        <f>IF(AH$5="Actual",SUMIFS(Outflows!$L$7:$L$163,Outflows!$H$7:$H$163,$A38,Outflows!$M$7:$M$163,AH$6),IF($A38="Sales VAT",SUM(AH$8:AH$12)*Inputs!$B$7/(1+Inputs!$B$7),IF(AND(AH$6&gt;=$E38,AH$6&lt;=$F38,Budget!$M28&gt;0),$D38/Budget!$M28,0)))</f>
        <v>27500</v>
      </c>
      <c r="AI38" s="35">
        <f>IF(AI$5="Actual",SUMIFS(Outflows!$L$7:$L$163,Outflows!$H$7:$H$163,$A38,Outflows!$M$7:$M$163,AI$6),IF($A38="Sales VAT",SUM(AI$8:AI$12)*Inputs!$B$7/(1+Inputs!$B$7),IF(AND(AI$6&gt;=$E38,AI$6&lt;=$F38,Budget!$M28&gt;0),$D38/Budget!$M28,0)))</f>
        <v>27500</v>
      </c>
      <c r="AJ38" s="35">
        <f>IF(AJ$5="Actual",SUMIFS(Outflows!$L$7:$L$163,Outflows!$H$7:$H$163,$A38,Outflows!$M$7:$M$163,AJ$6),IF($A38="Sales VAT",SUM(AJ$8:AJ$12)*Inputs!$B$7/(1+Inputs!$B$7),IF(AND(AJ$6&gt;=$E38,AJ$6&lt;=$F38,Budget!$M28&gt;0),$D38/Budget!$M28,0)))</f>
        <v>27500</v>
      </c>
      <c r="AK38" s="35">
        <f>IF(AK$5="Actual",SUMIFS(Outflows!$L$7:$L$163,Outflows!$H$7:$H$163,$A38,Outflows!$M$7:$M$163,AK$6),IF($A38="Sales VAT",SUM(AK$8:AK$12)*Inputs!$B$7/(1+Inputs!$B$7),IF(AND(AK$6&gt;=$E38,AK$6&lt;=$F38,Budget!$M28&gt;0),$D38/Budget!$M28,0)))</f>
        <v>27500</v>
      </c>
      <c r="AL38" s="35">
        <f>IF(AL$5="Actual",SUMIFS(Outflows!$L$7:$L$163,Outflows!$H$7:$H$163,$A38,Outflows!$M$7:$M$163,AL$6),IF($A38="Sales VAT",SUM(AL$8:AL$12)*Inputs!$B$7/(1+Inputs!$B$7),IF(AND(AL$6&gt;=$E38,AL$6&lt;=$F38,Budget!$M28&gt;0),$D38/Budget!$M28,0)))</f>
        <v>27500</v>
      </c>
      <c r="AM38" s="35">
        <f>IF(AM$5="Actual",SUMIFS(Outflows!$L$7:$L$163,Outflows!$H$7:$H$163,$A38,Outflows!$M$7:$M$163,AM$6),IF($A38="Sales VAT",SUM(AM$8:AM$12)*Inputs!$B$7/(1+Inputs!$B$7),IF(AND(AM$6&gt;=$E38,AM$6&lt;=$F38,Budget!$M28&gt;0),$D38/Budget!$M28,0)))</f>
        <v>27500</v>
      </c>
      <c r="AN38" s="35">
        <f>IF(AN$5="Actual",SUMIFS(Outflows!$L$7:$L$163,Outflows!$H$7:$H$163,$A38,Outflows!$M$7:$M$163,AN$6),IF($A38="Sales VAT",SUM(AN$8:AN$12)*Inputs!$B$7/(1+Inputs!$B$7),IF(AND(AN$6&gt;=$E38,AN$6&lt;=$F38,Budget!$M28&gt;0),$D38/Budget!$M28,0)))</f>
        <v>27500</v>
      </c>
      <c r="AO38" s="35">
        <f>IF(AO$5="Actual",SUMIFS(Outflows!$L$7:$L$163,Outflows!$H$7:$H$163,$A38,Outflows!$M$7:$M$163,AO$6),IF($A38="Sales VAT",SUM(AO$8:AO$12)*Inputs!$B$7/(1+Inputs!$B$7),IF(AND(AO$6&gt;=$E38,AO$6&lt;=$F38,Budget!$M28&gt;0),$D38/Budget!$M28,0)))</f>
        <v>27500</v>
      </c>
      <c r="AP38" s="35">
        <f>IF(AP$5="Actual",SUMIFS(Outflows!$L$7:$L$163,Outflows!$H$7:$H$163,$A38,Outflows!$M$7:$M$163,AP$6),IF($A38="Sales VAT",SUM(AP$8:AP$12)*Inputs!$B$7/(1+Inputs!$B$7),IF(AND(AP$6&gt;=$E38,AP$6&lt;=$F38,Budget!$M28&gt;0),$D38/Budget!$M28,0)))</f>
        <v>27500</v>
      </c>
      <c r="AQ38" s="35">
        <f>IF(AQ$5="Actual",SUMIFS(Outflows!$L$7:$L$163,Outflows!$H$7:$H$163,$A38,Outflows!$M$7:$M$163,AQ$6),IF($A38="Sales VAT",SUM(AQ$8:AQ$12)*Inputs!$B$7/(1+Inputs!$B$7),IF(AND(AQ$6&gt;=$E38,AQ$6&lt;=$F38,Budget!$M28&gt;0),$D38/Budget!$M28,0)))</f>
        <v>27500</v>
      </c>
      <c r="AR38" s="35">
        <f>IF(AR$5="Actual",SUMIFS(Outflows!$L$7:$L$163,Outflows!$H$7:$H$163,$A38,Outflows!$M$7:$M$163,AR$6),IF($A38="Sales VAT",SUM(AR$8:AR$12)*Inputs!$B$7/(1+Inputs!$B$7),IF(AND(AR$6&gt;=$E38,AR$6&lt;=$F38,Budget!$M28&gt;0),$D38/Budget!$M28,0)))</f>
        <v>27500</v>
      </c>
      <c r="AS38" s="35">
        <f>IF(AS$5="Actual",SUMIFS(Outflows!$L$7:$L$163,Outflows!$H$7:$H$163,$A38,Outflows!$M$7:$M$163,AS$6),IF($A38="Sales VAT",SUM(AS$8:AS$12)*Inputs!$B$7/(1+Inputs!$B$7),IF(AND(AS$6&gt;=$E38,AS$6&lt;=$F38,Budget!$M28&gt;0),$D38/Budget!$M28,0)))</f>
        <v>27500</v>
      </c>
      <c r="AT38" s="35">
        <f>IF(AT$5="Actual",SUMIFS(Outflows!$L$7:$L$163,Outflows!$H$7:$H$163,$A38,Outflows!$M$7:$M$163,AT$6),IF($A38="Sales VAT",SUM(AT$8:AT$12)*Inputs!$B$7/(1+Inputs!$B$7),IF(AND(AT$6&gt;=$E38,AT$6&lt;=$F38,Budget!$M28&gt;0),$D38/Budget!$M28,0)))</f>
        <v>27500</v>
      </c>
      <c r="AU38" s="35">
        <f>IF(AU$5="Actual",SUMIFS(Outflows!$L$7:$L$163,Outflows!$H$7:$H$163,$A38,Outflows!$M$7:$M$163,AU$6),IF($A38="Sales VAT",SUM(AU$8:AU$12)*Inputs!$B$7/(1+Inputs!$B$7),IF(AND(AU$6&gt;=$E38,AU$6&lt;=$F38,Budget!$M28&gt;0),$D38/Budget!$M28,0)))</f>
        <v>27500</v>
      </c>
      <c r="AV38" s="35">
        <f>IF(AV$5="Actual",SUMIFS(Outflows!$L$7:$L$163,Outflows!$H$7:$H$163,$A38,Outflows!$M$7:$M$163,AV$6),IF($A38="Sales VAT",SUM(AV$8:AV$12)*Inputs!$B$7/(1+Inputs!$B$7),IF(AND(AV$6&gt;=$E38,AV$6&lt;=$F38,Budget!$M28&gt;0),$D38/Budget!$M28,0)))</f>
        <v>27500</v>
      </c>
      <c r="AW38" s="35">
        <f>IF(AW$5="Actual",SUMIFS(Outflows!$L$7:$L$163,Outflows!$H$7:$H$163,$A38,Outflows!$M$7:$M$163,AW$6),IF($A38="Sales VAT",SUM(AW$8:AW$12)*Inputs!$B$7/(1+Inputs!$B$7),IF(AND(AW$6&gt;=$E38,AW$6&lt;=$F38,Budget!$M28&gt;0),$D38/Budget!$M28,0)))</f>
        <v>27500</v>
      </c>
      <c r="AX38" s="35">
        <f>IF(AX$5="Actual",SUMIFS(Outflows!$L$7:$L$163,Outflows!$H$7:$H$163,$A38,Outflows!$M$7:$M$163,AX$6),IF($A38="Sales VAT",SUM(AX$8:AX$12)*Inputs!$B$7/(1+Inputs!$B$7),IF(AND(AX$6&gt;=$E38,AX$6&lt;=$F38,Budget!$M28&gt;0),$D38/Budget!$M28,0)))</f>
        <v>27500</v>
      </c>
      <c r="AY38" s="35">
        <f>IF(AY$5="Actual",SUMIFS(Outflows!$L$7:$L$163,Outflows!$H$7:$H$163,$A38,Outflows!$M$7:$M$163,AY$6),IF($A38="Sales VAT",SUM(AY$8:AY$12)*Inputs!$B$7/(1+Inputs!$B$7),IF(AND(AY$6&gt;=$E38,AY$6&lt;=$F38,Budget!$M28&gt;0),$D38/Budget!$M28,0)))</f>
        <v>0</v>
      </c>
      <c r="AZ38" s="35">
        <f>IF(AZ$5="Actual",SUMIFS(Outflows!$L$7:$L$163,Outflows!$H$7:$H$163,$A38,Outflows!$M$7:$M$163,AZ$6),IF($A38="Sales VAT",SUM(AZ$8:AZ$12)*Inputs!$B$7/(1+Inputs!$B$7),IF(AND(AZ$6&gt;=$E38,AZ$6&lt;=$F38,Budget!$M28&gt;0),$D38/Budget!$M28,0)))</f>
        <v>0</v>
      </c>
      <c r="BA38" s="35">
        <f>IF(BA$5="Actual",SUMIFS(Outflows!$L$7:$L$163,Outflows!$H$7:$H$163,$A38,Outflows!$M$7:$M$163,BA$6),IF($A38="Sales VAT",SUM(BA$8:BA$12)*Inputs!$B$7/(1+Inputs!$B$7),IF(AND(BA$6&gt;=$E38,BA$6&lt;=$F38,Budget!$M28&gt;0),$D38/Budget!$M28,0)))</f>
        <v>0</v>
      </c>
    </row>
    <row r="39" spans="1:53">
      <c r="A39" s="6" t="str">
        <f>Budget!C29</f>
        <v>Project Management</v>
      </c>
      <c r="B39" s="35">
        <f>Budget!G29</f>
        <v>0</v>
      </c>
      <c r="C39" s="35">
        <f>Budget!H29</f>
        <v>235.59980313311044</v>
      </c>
      <c r="D39" s="35">
        <f>Budget!I29</f>
        <v>0</v>
      </c>
      <c r="E39" s="61">
        <f>Budget!K29</f>
        <v>45292</v>
      </c>
      <c r="F39" s="61">
        <f>Budget!L29</f>
        <v>45901</v>
      </c>
      <c r="G39" s="35">
        <f>IF(G$5="Actual",SUMIFS(Outflows!$L$7:$L$163,Outflows!$H$7:$H$163,$A39,Outflows!$M$7:$M$163,G$6),IF($A39="Sales VAT",SUM(G$8:G$12)*Inputs!$B$7/(1+Inputs!$B$7),IF(AND(G$6&gt;=$E39,G$6&lt;=$F39,Budget!$M29&gt;0),$D39/Budget!$M29,0)))</f>
        <v>0</v>
      </c>
      <c r="H39" s="35">
        <f>IF(H$5="Actual",SUMIFS(Outflows!$L$7:$L$163,Outflows!$H$7:$H$163,$A39,Outflows!$M$7:$M$163,H$6),IF($A39="Sales VAT",SUM(H$8:H$12)*Inputs!$B$7/(1+Inputs!$B$7),IF(AND(H$6&gt;=$E39,H$6&lt;=$F39,Budget!$M29&gt;0),$D39/Budget!$M29,0)))</f>
        <v>0</v>
      </c>
      <c r="I39" s="35">
        <f>IF(I$5="Actual",SUMIFS(Outflows!$L$7:$L$163,Outflows!$H$7:$H$163,$A39,Outflows!$M$7:$M$163,I$6),IF($A39="Sales VAT",SUM(I$8:I$12)*Inputs!$B$7/(1+Inputs!$B$7),IF(AND(I$6&gt;=$E39,I$6&lt;=$F39,Budget!$M29&gt;0),$D39/Budget!$M29,0)))</f>
        <v>0</v>
      </c>
      <c r="J39" s="35">
        <f>IF(J$5="Actual",SUMIFS(Outflows!$L$7:$L$163,Outflows!$H$7:$H$163,$A39,Outflows!$M$7:$M$163,J$6),IF($A39="Sales VAT",SUM(J$8:J$12)*Inputs!$B$7/(1+Inputs!$B$7),IF(AND(J$6&gt;=$E39,J$6&lt;=$F39,Budget!$M29&gt;0),$D39/Budget!$M29,0)))</f>
        <v>0</v>
      </c>
      <c r="K39" s="35">
        <f>IF(K$5="Actual",SUMIFS(Outflows!$L$7:$L$163,Outflows!$H$7:$H$163,$A39,Outflows!$M$7:$M$163,K$6),IF($A39="Sales VAT",SUM(K$8:K$12)*Inputs!$B$7/(1+Inputs!$B$7),IF(AND(K$6&gt;=$E39,K$6&lt;=$F39,Budget!$M29&gt;0),$D39/Budget!$M29,0)))</f>
        <v>0</v>
      </c>
      <c r="L39" s="35">
        <f>IF(L$5="Actual",SUMIFS(Outflows!$L$7:$L$163,Outflows!$H$7:$H$163,$A39,Outflows!$M$7:$M$163,L$6),IF($A39="Sales VAT",SUM(L$8:L$12)*Inputs!$B$7/(1+Inputs!$B$7),IF(AND(L$6&gt;=$E39,L$6&lt;=$F39,Budget!$M29&gt;0),$D39/Budget!$M29,0)))</f>
        <v>4.9471854526006149</v>
      </c>
      <c r="M39" s="35">
        <f>IF(M$5="Actual",SUMIFS(Outflows!$L$7:$L$163,Outflows!$H$7:$H$163,$A39,Outflows!$M$7:$M$163,M$6),IF($A39="Sales VAT",SUM(M$8:M$12)*Inputs!$B$7/(1+Inputs!$B$7),IF(AND(M$6&gt;=$E39,M$6&lt;=$F39,Budget!$M29&gt;0),$D39/Budget!$M29,0)))</f>
        <v>0</v>
      </c>
      <c r="N39" s="35">
        <f>IF(N$5="Actual",SUMIFS(Outflows!$L$7:$L$163,Outflows!$H$7:$H$163,$A39,Outflows!$M$7:$M$163,N$6),IF($A39="Sales VAT",SUM(N$8:N$12)*Inputs!$B$7/(1+Inputs!$B$7),IF(AND(N$6&gt;=$E39,N$6&lt;=$F39,Budget!$M29&gt;0),$D39/Budget!$M29,0)))</f>
        <v>0</v>
      </c>
      <c r="O39" s="35">
        <f>IF(O$5="Actual",SUMIFS(Outflows!$L$7:$L$163,Outflows!$H$7:$H$163,$A39,Outflows!$M$7:$M$163,O$6),IF($A39="Sales VAT",SUM(O$8:O$12)*Inputs!$B$7/(1+Inputs!$B$7),IF(AND(O$6&gt;=$E39,O$6&lt;=$F39,Budget!$M29&gt;0),$D39/Budget!$M29,0)))</f>
        <v>0</v>
      </c>
      <c r="P39" s="35">
        <f>IF(P$5="Actual",SUMIFS(Outflows!$L$7:$L$163,Outflows!$H$7:$H$163,$A39,Outflows!$M$7:$M$163,P$6),IF($A39="Sales VAT",SUM(P$8:P$12)*Inputs!$B$7/(1+Inputs!$B$7),IF(AND(P$6&gt;=$E39,P$6&lt;=$F39,Budget!$M29&gt;0),$D39/Budget!$M29,0)))</f>
        <v>0</v>
      </c>
      <c r="Q39" s="35">
        <f>IF(Q$5="Actual",SUMIFS(Outflows!$L$7:$L$163,Outflows!$H$7:$H$163,$A39,Outflows!$M$7:$M$163,Q$6),IF($A39="Sales VAT",SUM(Q$8:Q$12)*Inputs!$B$7/(1+Inputs!$B$7),IF(AND(Q$6&gt;=$E39,Q$6&lt;=$F39,Budget!$M29&gt;0),$D39/Budget!$M29,0)))</f>
        <v>0</v>
      </c>
      <c r="R39" s="35">
        <f>IF(R$5="Actual",SUMIFS(Outflows!$L$7:$L$163,Outflows!$H$7:$H$163,$A39,Outflows!$M$7:$M$163,R$6),IF($A39="Sales VAT",SUM(R$8:R$12)*Inputs!$B$7/(1+Inputs!$B$7),IF(AND(R$6&gt;=$E39,R$6&lt;=$F39,Budget!$M29&gt;0),$D39/Budget!$M29,0)))</f>
        <v>15.555110488016558</v>
      </c>
      <c r="S39" s="35">
        <f>IF(S$5="Actual",SUMIFS(Outflows!$L$7:$L$163,Outflows!$H$7:$H$163,$A39,Outflows!$M$7:$M$163,S$6),IF($A39="Sales VAT",SUM(S$8:S$12)*Inputs!$B$7/(1+Inputs!$B$7),IF(AND(S$6&gt;=$E39,S$6&lt;=$F39,Budget!$M29&gt;0),$D39/Budget!$M29,0)))</f>
        <v>0</v>
      </c>
      <c r="T39" s="35">
        <f>IF(T$5="Actual",SUMIFS(Outflows!$L$7:$L$163,Outflows!$H$7:$H$163,$A39,Outflows!$M$7:$M$163,T$6),IF($A39="Sales VAT",SUM(T$8:T$12)*Inputs!$B$7/(1+Inputs!$B$7),IF(AND(T$6&gt;=$E39,T$6&lt;=$F39,Budget!$M29&gt;0),$D39/Budget!$M29,0)))</f>
        <v>21.570840525826583</v>
      </c>
      <c r="U39" s="35">
        <f>IF(U$5="Actual",SUMIFS(Outflows!$L$7:$L$163,Outflows!$H$7:$H$163,$A39,Outflows!$M$7:$M$163,U$6),IF($A39="Sales VAT",SUM(U$8:U$12)*Inputs!$B$7/(1+Inputs!$B$7),IF(AND(U$6&gt;=$E39,U$6&lt;=$F39,Budget!$M29&gt;0),$D39/Budget!$M29,0)))</f>
        <v>0</v>
      </c>
      <c r="V39" s="35">
        <f>IF(V$5="Actual",SUMIFS(Outflows!$L$7:$L$163,Outflows!$H$7:$H$163,$A39,Outflows!$M$7:$M$163,V$6),IF($A39="Sales VAT",SUM(V$8:V$12)*Inputs!$B$7/(1+Inputs!$B$7),IF(AND(V$6&gt;=$E39,V$6&lt;=$F39,Budget!$M29&gt;0),$D39/Budget!$M29,0)))</f>
        <v>0</v>
      </c>
      <c r="W39" s="35">
        <f>IF(W$5="Actual",SUMIFS(Outflows!$L$7:$L$163,Outflows!$H$7:$H$163,$A39,Outflows!$M$7:$M$163,W$6),IF($A39="Sales VAT",SUM(W$8:W$12)*Inputs!$B$7/(1+Inputs!$B$7),IF(AND(W$6&gt;=$E39,W$6&lt;=$F39,Budget!$M29&gt;0),$D39/Budget!$M29,0)))</f>
        <v>0</v>
      </c>
      <c r="X39" s="35">
        <f>IF(X$5="Actual",SUMIFS(Outflows!$L$7:$L$163,Outflows!$H$7:$H$163,$A39,Outflows!$M$7:$M$163,X$6),IF($A39="Sales VAT",SUM(X$8:X$12)*Inputs!$B$7/(1+Inputs!$B$7),IF(AND(X$6&gt;=$E39,X$6&lt;=$F39,Budget!$M29&gt;0),$D39/Budget!$M29,0)))</f>
        <v>0</v>
      </c>
      <c r="Y39" s="35">
        <f>IF(Y$5="Actual",SUMIFS(Outflows!$L$7:$L$163,Outflows!$H$7:$H$163,$A39,Outflows!$M$7:$M$163,Y$6),IF($A39="Sales VAT",SUM(Y$8:Y$12)*Inputs!$B$7/(1+Inputs!$B$7),IF(AND(Y$6&gt;=$E39,Y$6&lt;=$F39,Budget!$M29&gt;0),$D39/Budget!$M29,0)))</f>
        <v>193.52666666666667</v>
      </c>
      <c r="Z39" s="35">
        <f>IF(Z$5="Actual",SUMIFS(Outflows!$L$7:$L$163,Outflows!$H$7:$H$163,$A39,Outflows!$M$7:$M$163,Z$6),IF($A39="Sales VAT",SUM(Z$8:Z$12)*Inputs!$B$7/(1+Inputs!$B$7),IF(AND(Z$6&gt;=$E39,Z$6&lt;=$F39,Budget!$M29&gt;0),$D39/Budget!$M29,0)))</f>
        <v>0</v>
      </c>
      <c r="AA39" s="35">
        <f>IF(AA$5="Actual",SUMIFS(Outflows!$L$7:$L$163,Outflows!$H$7:$H$163,$A39,Outflows!$M$7:$M$163,AA$6),IF($A39="Sales VAT",SUM(AA$8:AA$12)*Inputs!$B$7/(1+Inputs!$B$7),IF(AND(AA$6&gt;=$E39,AA$6&lt;=$F39,Budget!$M29&gt;0),$D39/Budget!$M29,0)))</f>
        <v>0</v>
      </c>
      <c r="AB39" s="35">
        <f>IF(AB$5="Actual",SUMIFS(Outflows!$L$7:$L$163,Outflows!$H$7:$H$163,$A39,Outflows!$M$7:$M$163,AB$6),IF($A39="Sales VAT",SUM(AB$8:AB$12)*Inputs!$B$7/(1+Inputs!$B$7),IF(AND(AB$6&gt;=$E39,AB$6&lt;=$F39,Budget!$M29&gt;0),$D39/Budget!$M29,0)))</f>
        <v>0</v>
      </c>
      <c r="AC39" s="35">
        <f>IF(AC$5="Actual",SUMIFS(Outflows!$L$7:$L$163,Outflows!$H$7:$H$163,$A39,Outflows!$M$7:$M$163,AC$6),IF($A39="Sales VAT",SUM(AC$8:AC$12)*Inputs!$B$7/(1+Inputs!$B$7),IF(AND(AC$6&gt;=$E39,AC$6&lt;=$F39,Budget!$M29&gt;0),$D39/Budget!$M29,0)))</f>
        <v>0</v>
      </c>
      <c r="AD39" s="35">
        <f>IF(AD$5="Actual",SUMIFS(Outflows!$L$7:$L$163,Outflows!$H$7:$H$163,$A39,Outflows!$M$7:$M$163,AD$6),IF($A39="Sales VAT",SUM(AD$8:AD$12)*Inputs!$B$7/(1+Inputs!$B$7),IF(AND(AD$6&gt;=$E39,AD$6&lt;=$F39,Budget!$M29&gt;0),$D39/Budget!$M29,0)))</f>
        <v>0</v>
      </c>
      <c r="AE39" s="35">
        <f>IF(AE$5="Actual",SUMIFS(Outflows!$L$7:$L$163,Outflows!$H$7:$H$163,$A39,Outflows!$M$7:$M$163,AE$6),IF($A39="Sales VAT",SUM(AE$8:AE$12)*Inputs!$B$7/(1+Inputs!$B$7),IF(AND(AE$6&gt;=$E39,AE$6&lt;=$F39,Budget!$M29&gt;0),$D39/Budget!$M29,0)))</f>
        <v>0</v>
      </c>
      <c r="AF39" s="35">
        <f>IF(AF$5="Actual",SUMIFS(Outflows!$L$7:$L$163,Outflows!$H$7:$H$163,$A39,Outflows!$M$7:$M$163,AF$6),IF($A39="Sales VAT",SUM(AF$8:AF$12)*Inputs!$B$7/(1+Inputs!$B$7),IF(AND(AF$6&gt;=$E39,AF$6&lt;=$F39,Budget!$M29&gt;0),$D39/Budget!$M29,0)))</f>
        <v>0</v>
      </c>
      <c r="AG39" s="35">
        <f>IF(AG$5="Actual",SUMIFS(Outflows!$L$7:$L$163,Outflows!$H$7:$H$163,$A39,Outflows!$M$7:$M$163,AG$6),IF($A39="Sales VAT",SUM(AG$8:AG$12)*Inputs!$B$7/(1+Inputs!$B$7),IF(AND(AG$6&gt;=$E39,AG$6&lt;=$F39,Budget!$M29&gt;0),$D39/Budget!$M29,0)))</f>
        <v>0</v>
      </c>
      <c r="AH39" s="35">
        <f>IF(AH$5="Actual",SUMIFS(Outflows!$L$7:$L$163,Outflows!$H$7:$H$163,$A39,Outflows!$M$7:$M$163,AH$6),IF($A39="Sales VAT",SUM(AH$8:AH$12)*Inputs!$B$7/(1+Inputs!$B$7),IF(AND(AH$6&gt;=$E39,AH$6&lt;=$F39,Budget!$M29&gt;0),$D39/Budget!$M29,0)))</f>
        <v>0</v>
      </c>
      <c r="AI39" s="35">
        <f>IF(AI$5="Actual",SUMIFS(Outflows!$L$7:$L$163,Outflows!$H$7:$H$163,$A39,Outflows!$M$7:$M$163,AI$6),IF($A39="Sales VAT",SUM(AI$8:AI$12)*Inputs!$B$7/(1+Inputs!$B$7),IF(AND(AI$6&gt;=$E39,AI$6&lt;=$F39,Budget!$M29&gt;0),$D39/Budget!$M29,0)))</f>
        <v>0</v>
      </c>
      <c r="AJ39" s="35">
        <f>IF(AJ$5="Actual",SUMIFS(Outflows!$L$7:$L$163,Outflows!$H$7:$H$163,$A39,Outflows!$M$7:$M$163,AJ$6),IF($A39="Sales VAT",SUM(AJ$8:AJ$12)*Inputs!$B$7/(1+Inputs!$B$7),IF(AND(AJ$6&gt;=$E39,AJ$6&lt;=$F39,Budget!$M29&gt;0),$D39/Budget!$M29,0)))</f>
        <v>0</v>
      </c>
      <c r="AK39" s="35">
        <f>IF(AK$5="Actual",SUMIFS(Outflows!$L$7:$L$163,Outflows!$H$7:$H$163,$A39,Outflows!$M$7:$M$163,AK$6),IF($A39="Sales VAT",SUM(AK$8:AK$12)*Inputs!$B$7/(1+Inputs!$B$7),IF(AND(AK$6&gt;=$E39,AK$6&lt;=$F39,Budget!$M29&gt;0),$D39/Budget!$M29,0)))</f>
        <v>0</v>
      </c>
      <c r="AL39" s="35">
        <f>IF(AL$5="Actual",SUMIFS(Outflows!$L$7:$L$163,Outflows!$H$7:$H$163,$A39,Outflows!$M$7:$M$163,AL$6),IF($A39="Sales VAT",SUM(AL$8:AL$12)*Inputs!$B$7/(1+Inputs!$B$7),IF(AND(AL$6&gt;=$E39,AL$6&lt;=$F39,Budget!$M29&gt;0),$D39/Budget!$M29,0)))</f>
        <v>0</v>
      </c>
      <c r="AM39" s="35">
        <f>IF(AM$5="Actual",SUMIFS(Outflows!$L$7:$L$163,Outflows!$H$7:$H$163,$A39,Outflows!$M$7:$M$163,AM$6),IF($A39="Sales VAT",SUM(AM$8:AM$12)*Inputs!$B$7/(1+Inputs!$B$7),IF(AND(AM$6&gt;=$E39,AM$6&lt;=$F39,Budget!$M29&gt;0),$D39/Budget!$M29,0)))</f>
        <v>0</v>
      </c>
      <c r="AN39" s="35">
        <f>IF(AN$5="Actual",SUMIFS(Outflows!$L$7:$L$163,Outflows!$H$7:$H$163,$A39,Outflows!$M$7:$M$163,AN$6),IF($A39="Sales VAT",SUM(AN$8:AN$12)*Inputs!$B$7/(1+Inputs!$B$7),IF(AND(AN$6&gt;=$E39,AN$6&lt;=$F39,Budget!$M29&gt;0),$D39/Budget!$M29,0)))</f>
        <v>0</v>
      </c>
      <c r="AO39" s="35">
        <f>IF(AO$5="Actual",SUMIFS(Outflows!$L$7:$L$163,Outflows!$H$7:$H$163,$A39,Outflows!$M$7:$M$163,AO$6),IF($A39="Sales VAT",SUM(AO$8:AO$12)*Inputs!$B$7/(1+Inputs!$B$7),IF(AND(AO$6&gt;=$E39,AO$6&lt;=$F39,Budget!$M29&gt;0),$D39/Budget!$M29,0)))</f>
        <v>0</v>
      </c>
      <c r="AP39" s="35">
        <f>IF(AP$5="Actual",SUMIFS(Outflows!$L$7:$L$163,Outflows!$H$7:$H$163,$A39,Outflows!$M$7:$M$163,AP$6),IF($A39="Sales VAT",SUM(AP$8:AP$12)*Inputs!$B$7/(1+Inputs!$B$7),IF(AND(AP$6&gt;=$E39,AP$6&lt;=$F39,Budget!$M29&gt;0),$D39/Budget!$M29,0)))</f>
        <v>0</v>
      </c>
      <c r="AQ39" s="35">
        <f>IF(AQ$5="Actual",SUMIFS(Outflows!$L$7:$L$163,Outflows!$H$7:$H$163,$A39,Outflows!$M$7:$M$163,AQ$6),IF($A39="Sales VAT",SUM(AQ$8:AQ$12)*Inputs!$B$7/(1+Inputs!$B$7),IF(AND(AQ$6&gt;=$E39,AQ$6&lt;=$F39,Budget!$M29&gt;0),$D39/Budget!$M29,0)))</f>
        <v>0</v>
      </c>
      <c r="AR39" s="35">
        <f>IF(AR$5="Actual",SUMIFS(Outflows!$L$7:$L$163,Outflows!$H$7:$H$163,$A39,Outflows!$M$7:$M$163,AR$6),IF($A39="Sales VAT",SUM(AR$8:AR$12)*Inputs!$B$7/(1+Inputs!$B$7),IF(AND(AR$6&gt;=$E39,AR$6&lt;=$F39,Budget!$M29&gt;0),$D39/Budget!$M29,0)))</f>
        <v>0</v>
      </c>
      <c r="AS39" s="35">
        <f>IF(AS$5="Actual",SUMIFS(Outflows!$L$7:$L$163,Outflows!$H$7:$H$163,$A39,Outflows!$M$7:$M$163,AS$6),IF($A39="Sales VAT",SUM(AS$8:AS$12)*Inputs!$B$7/(1+Inputs!$B$7),IF(AND(AS$6&gt;=$E39,AS$6&lt;=$F39,Budget!$M29&gt;0),$D39/Budget!$M29,0)))</f>
        <v>0</v>
      </c>
      <c r="AT39" s="35">
        <f>IF(AT$5="Actual",SUMIFS(Outflows!$L$7:$L$163,Outflows!$H$7:$H$163,$A39,Outflows!$M$7:$M$163,AT$6),IF($A39="Sales VAT",SUM(AT$8:AT$12)*Inputs!$B$7/(1+Inputs!$B$7),IF(AND(AT$6&gt;=$E39,AT$6&lt;=$F39,Budget!$M29&gt;0),$D39/Budget!$M29,0)))</f>
        <v>0</v>
      </c>
      <c r="AU39" s="35">
        <f>IF(AU$5="Actual",SUMIFS(Outflows!$L$7:$L$163,Outflows!$H$7:$H$163,$A39,Outflows!$M$7:$M$163,AU$6),IF($A39="Sales VAT",SUM(AU$8:AU$12)*Inputs!$B$7/(1+Inputs!$B$7),IF(AND(AU$6&gt;=$E39,AU$6&lt;=$F39,Budget!$M29&gt;0),$D39/Budget!$M29,0)))</f>
        <v>0</v>
      </c>
      <c r="AV39" s="35">
        <f>IF(AV$5="Actual",SUMIFS(Outflows!$L$7:$L$163,Outflows!$H$7:$H$163,$A39,Outflows!$M$7:$M$163,AV$6),IF($A39="Sales VAT",SUM(AV$8:AV$12)*Inputs!$B$7/(1+Inputs!$B$7),IF(AND(AV$6&gt;=$E39,AV$6&lt;=$F39,Budget!$M29&gt;0),$D39/Budget!$M29,0)))</f>
        <v>0</v>
      </c>
      <c r="AW39" s="35">
        <f>IF(AW$5="Actual",SUMIFS(Outflows!$L$7:$L$163,Outflows!$H$7:$H$163,$A39,Outflows!$M$7:$M$163,AW$6),IF($A39="Sales VAT",SUM(AW$8:AW$12)*Inputs!$B$7/(1+Inputs!$B$7),IF(AND(AW$6&gt;=$E39,AW$6&lt;=$F39,Budget!$M29&gt;0),$D39/Budget!$M29,0)))</f>
        <v>0</v>
      </c>
      <c r="AX39" s="35">
        <f>IF(AX$5="Actual",SUMIFS(Outflows!$L$7:$L$163,Outflows!$H$7:$H$163,$A39,Outflows!$M$7:$M$163,AX$6),IF($A39="Sales VAT",SUM(AX$8:AX$12)*Inputs!$B$7/(1+Inputs!$B$7),IF(AND(AX$6&gt;=$E39,AX$6&lt;=$F39,Budget!$M29&gt;0),$D39/Budget!$M29,0)))</f>
        <v>0</v>
      </c>
      <c r="AY39" s="35">
        <f>IF(AY$5="Actual",SUMIFS(Outflows!$L$7:$L$163,Outflows!$H$7:$H$163,$A39,Outflows!$M$7:$M$163,AY$6),IF($A39="Sales VAT",SUM(AY$8:AY$12)*Inputs!$B$7/(1+Inputs!$B$7),IF(AND(AY$6&gt;=$E39,AY$6&lt;=$F39,Budget!$M29&gt;0),$D39/Budget!$M29,0)))</f>
        <v>0</v>
      </c>
      <c r="AZ39" s="35">
        <f>IF(AZ$5="Actual",SUMIFS(Outflows!$L$7:$L$163,Outflows!$H$7:$H$163,$A39,Outflows!$M$7:$M$163,AZ$6),IF($A39="Sales VAT",SUM(AZ$8:AZ$12)*Inputs!$B$7/(1+Inputs!$B$7),IF(AND(AZ$6&gt;=$E39,AZ$6&lt;=$F39,Budget!$M29&gt;0),$D39/Budget!$M29,0)))</f>
        <v>0</v>
      </c>
      <c r="BA39" s="35">
        <f>IF(BA$5="Actual",SUMIFS(Outflows!$L$7:$L$163,Outflows!$H$7:$H$163,$A39,Outflows!$M$7:$M$163,BA$6),IF($A39="Sales VAT",SUM(BA$8:BA$12)*Inputs!$B$7/(1+Inputs!$B$7),IF(AND(BA$6&gt;=$E39,BA$6&lt;=$F39,Budget!$M29&gt;0),$D39/Budget!$M29,0)))</f>
        <v>0</v>
      </c>
    </row>
    <row r="40" spans="1:53">
      <c r="A40" s="6" t="str">
        <f>Budget!C30</f>
        <v>Contingency</v>
      </c>
      <c r="B40" s="35">
        <f>Budget!G30</f>
        <v>1192289.6073298</v>
      </c>
      <c r="C40" s="35">
        <f>Budget!H30</f>
        <v>0</v>
      </c>
      <c r="D40" s="35">
        <f>Budget!I30</f>
        <v>1192289.6073298</v>
      </c>
      <c r="E40" s="61">
        <f>Budget!K30</f>
        <v>45323</v>
      </c>
      <c r="F40" s="61">
        <f>Budget!L30</f>
        <v>45839</v>
      </c>
      <c r="G40" s="35">
        <f>IF(G$5="Actual",SUMIFS(Outflows!$L$7:$L$163,Outflows!$H$7:$H$163,$A40,Outflows!$M$7:$M$163,G$6),IF($A40="Sales VAT",SUM(G$8:G$12)*Inputs!$B$7/(1+Inputs!$B$7),IF(AND(G$6&gt;=$E40,G$6&lt;=$F40,Budget!$M30&gt;0),$D40/Budget!$M30,0)))</f>
        <v>0</v>
      </c>
      <c r="H40" s="35">
        <f>IF(H$5="Actual",SUMIFS(Outflows!$L$7:$L$163,Outflows!$H$7:$H$163,$A40,Outflows!$M$7:$M$163,H$6),IF($A40="Sales VAT",SUM(H$8:H$12)*Inputs!$B$7/(1+Inputs!$B$7),IF(AND(H$6&gt;=$E40,H$6&lt;=$F40,Budget!$M30&gt;0),$D40/Budget!$M30,0)))</f>
        <v>0</v>
      </c>
      <c r="I40" s="35">
        <f>IF(I$5="Actual",SUMIFS(Outflows!$L$7:$L$163,Outflows!$H$7:$H$163,$A40,Outflows!$M$7:$M$163,I$6),IF($A40="Sales VAT",SUM(I$8:I$12)*Inputs!$B$7/(1+Inputs!$B$7),IF(AND(I$6&gt;=$E40,I$6&lt;=$F40,Budget!$M30&gt;0),$D40/Budget!$M30,0)))</f>
        <v>0</v>
      </c>
      <c r="J40" s="35">
        <f>IF(J$5="Actual",SUMIFS(Outflows!$L$7:$L$163,Outflows!$H$7:$H$163,$A40,Outflows!$M$7:$M$163,J$6),IF($A40="Sales VAT",SUM(J$8:J$12)*Inputs!$B$7/(1+Inputs!$B$7),IF(AND(J$6&gt;=$E40,J$6&lt;=$F40,Budget!$M30&gt;0),$D40/Budget!$M30,0)))</f>
        <v>0</v>
      </c>
      <c r="K40" s="35">
        <f>IF(K$5="Actual",SUMIFS(Outflows!$L$7:$L$163,Outflows!$H$7:$H$163,$A40,Outflows!$M$7:$M$163,K$6),IF($A40="Sales VAT",SUM(K$8:K$12)*Inputs!$B$7/(1+Inputs!$B$7),IF(AND(K$6&gt;=$E40,K$6&lt;=$F40,Budget!$M30&gt;0),$D40/Budget!$M30,0)))</f>
        <v>0</v>
      </c>
      <c r="L40" s="35">
        <f>IF(L$5="Actual",SUMIFS(Outflows!$L$7:$L$163,Outflows!$H$7:$H$163,$A40,Outflows!$M$7:$M$163,L$6),IF($A40="Sales VAT",SUM(L$8:L$12)*Inputs!$B$7/(1+Inputs!$B$7),IF(AND(L$6&gt;=$E40,L$6&lt;=$F40,Budget!$M30&gt;0),$D40/Budget!$M30,0)))</f>
        <v>0</v>
      </c>
      <c r="M40" s="35">
        <f>IF(M$5="Actual",SUMIFS(Outflows!$L$7:$L$163,Outflows!$H$7:$H$163,$A40,Outflows!$M$7:$M$163,M$6),IF($A40="Sales VAT",SUM(M$8:M$12)*Inputs!$B$7/(1+Inputs!$B$7),IF(AND(M$6&gt;=$E40,M$6&lt;=$F40,Budget!$M30&gt;0),$D40/Budget!$M30,0)))</f>
        <v>0</v>
      </c>
      <c r="N40" s="35">
        <f>IF(N$5="Actual",SUMIFS(Outflows!$L$7:$L$163,Outflows!$H$7:$H$163,$A40,Outflows!$M$7:$M$163,N$6),IF($A40="Sales VAT",SUM(N$8:N$12)*Inputs!$B$7/(1+Inputs!$B$7),IF(AND(N$6&gt;=$E40,N$6&lt;=$F40,Budget!$M30&gt;0),$D40/Budget!$M30,0)))</f>
        <v>0</v>
      </c>
      <c r="O40" s="35">
        <f>IF(O$5="Actual",SUMIFS(Outflows!$L$7:$L$163,Outflows!$H$7:$H$163,$A40,Outflows!$M$7:$M$163,O$6),IF($A40="Sales VAT",SUM(O$8:O$12)*Inputs!$B$7/(1+Inputs!$B$7),IF(AND(O$6&gt;=$E40,O$6&lt;=$F40,Budget!$M30&gt;0),$D40/Budget!$M30,0)))</f>
        <v>0</v>
      </c>
      <c r="P40" s="35">
        <f>IF(P$5="Actual",SUMIFS(Outflows!$L$7:$L$163,Outflows!$H$7:$H$163,$A40,Outflows!$M$7:$M$163,P$6),IF($A40="Sales VAT",SUM(P$8:P$12)*Inputs!$B$7/(1+Inputs!$B$7),IF(AND(P$6&gt;=$E40,P$6&lt;=$F40,Budget!$M30&gt;0),$D40/Budget!$M30,0)))</f>
        <v>0</v>
      </c>
      <c r="Q40" s="35">
        <f>IF(Q$5="Actual",SUMIFS(Outflows!$L$7:$L$163,Outflows!$H$7:$H$163,$A40,Outflows!$M$7:$M$163,Q$6),IF($A40="Sales VAT",SUM(Q$8:Q$12)*Inputs!$B$7/(1+Inputs!$B$7),IF(AND(Q$6&gt;=$E40,Q$6&lt;=$F40,Budget!$M30&gt;0),$D40/Budget!$M30,0)))</f>
        <v>0</v>
      </c>
      <c r="R40" s="35">
        <f>IF(R$5="Actual",SUMIFS(Outflows!$L$7:$L$163,Outflows!$H$7:$H$163,$A40,Outflows!$M$7:$M$163,R$6),IF($A40="Sales VAT",SUM(R$8:R$12)*Inputs!$B$7/(1+Inputs!$B$7),IF(AND(R$6&gt;=$E40,R$6&lt;=$F40,Budget!$M30&gt;0),$D40/Budget!$M30,0)))</f>
        <v>0</v>
      </c>
      <c r="S40" s="35">
        <f>IF(S$5="Actual",SUMIFS(Outflows!$L$7:$L$163,Outflows!$H$7:$H$163,$A40,Outflows!$M$7:$M$163,S$6),IF($A40="Sales VAT",SUM(S$8:S$12)*Inputs!$B$7/(1+Inputs!$B$7),IF(AND(S$6&gt;=$E40,S$6&lt;=$F40,Budget!$M30&gt;0),$D40/Budget!$M30,0)))</f>
        <v>0</v>
      </c>
      <c r="T40" s="35">
        <f>IF(T$5="Actual",SUMIFS(Outflows!$L$7:$L$163,Outflows!$H$7:$H$163,$A40,Outflows!$M$7:$M$163,T$6),IF($A40="Sales VAT",SUM(T$8:T$12)*Inputs!$B$7/(1+Inputs!$B$7),IF(AND(T$6&gt;=$E40,T$6&lt;=$F40,Budget!$M30&gt;0),$D40/Budget!$M30,0)))</f>
        <v>0</v>
      </c>
      <c r="U40" s="35">
        <f>IF(U$5="Actual",SUMIFS(Outflows!$L$7:$L$163,Outflows!$H$7:$H$163,$A40,Outflows!$M$7:$M$163,U$6),IF($A40="Sales VAT",SUM(U$8:U$12)*Inputs!$B$7/(1+Inputs!$B$7),IF(AND(U$6&gt;=$E40,U$6&lt;=$F40,Budget!$M30&gt;0),$D40/Budget!$M30,0)))</f>
        <v>0</v>
      </c>
      <c r="V40" s="35">
        <f>IF(V$5="Actual",SUMIFS(Outflows!$L$7:$L$163,Outflows!$H$7:$H$163,$A40,Outflows!$M$7:$M$163,V$6),IF($A40="Sales VAT",SUM(V$8:V$12)*Inputs!$B$7/(1+Inputs!$B$7),IF(AND(V$6&gt;=$E40,V$6&lt;=$F40,Budget!$M30&gt;0),$D40/Budget!$M30,0)))</f>
        <v>0</v>
      </c>
      <c r="W40" s="35">
        <f>IF(W$5="Actual",SUMIFS(Outflows!$L$7:$L$163,Outflows!$H$7:$H$163,$A40,Outflows!$M$7:$M$163,W$6),IF($A40="Sales VAT",SUM(W$8:W$12)*Inputs!$B$7/(1+Inputs!$B$7),IF(AND(W$6&gt;=$E40,W$6&lt;=$F40,Budget!$M30&gt;0),$D40/Budget!$M30,0)))</f>
        <v>0</v>
      </c>
      <c r="X40" s="35">
        <f>IF(X$5="Actual",SUMIFS(Outflows!$L$7:$L$163,Outflows!$H$7:$H$163,$A40,Outflows!$M$7:$M$163,X$6),IF($A40="Sales VAT",SUM(X$8:X$12)*Inputs!$B$7/(1+Inputs!$B$7),IF(AND(X$6&gt;=$E40,X$6&lt;=$F40,Budget!$M30&gt;0),$D40/Budget!$M30,0)))</f>
        <v>0</v>
      </c>
      <c r="Y40" s="35">
        <f>IF(Y$5="Actual",SUMIFS(Outflows!$L$7:$L$163,Outflows!$H$7:$H$163,$A40,Outflows!$M$7:$M$163,Y$6),IF($A40="Sales VAT",SUM(Y$8:Y$12)*Inputs!$B$7/(1+Inputs!$B$7),IF(AND(Y$6&gt;=$E40,Y$6&lt;=$F40,Budget!$M30&gt;0),$D40/Budget!$M30,0)))</f>
        <v>0</v>
      </c>
      <c r="Z40" s="35">
        <f>IF(Z$5="Actual",SUMIFS(Outflows!$L$7:$L$163,Outflows!$H$7:$H$163,$A40,Outflows!$M$7:$M$163,Z$6),IF($A40="Sales VAT",SUM(Z$8:Z$12)*Inputs!$B$7/(1+Inputs!$B$7),IF(AND(Z$6&gt;=$E40,Z$6&lt;=$F40,Budget!$M30&gt;0),$D40/Budget!$M30,0)))</f>
        <v>0</v>
      </c>
      <c r="AA40" s="35">
        <f>IF(AA$5="Actual",SUMIFS(Outflows!$L$7:$L$163,Outflows!$H$7:$H$163,$A40,Outflows!$M$7:$M$163,AA$6),IF($A40="Sales VAT",SUM(AA$8:AA$12)*Inputs!$B$7/(1+Inputs!$B$7),IF(AND(AA$6&gt;=$E40,AA$6&lt;=$F40,Budget!$M30&gt;0),$D40/Budget!$M30,0)))</f>
        <v>0</v>
      </c>
      <c r="AB40" s="35">
        <f>IF(AB$5="Actual",SUMIFS(Outflows!$L$7:$L$163,Outflows!$H$7:$H$163,$A40,Outflows!$M$7:$M$163,AB$6),IF($A40="Sales VAT",SUM(AB$8:AB$12)*Inputs!$B$7/(1+Inputs!$B$7),IF(AND(AB$6&gt;=$E40,AB$6&lt;=$F40,Budget!$M30&gt;0),$D40/Budget!$M30,0)))</f>
        <v>0</v>
      </c>
      <c r="AC40" s="35">
        <f>IF(AC$5="Actual",SUMIFS(Outflows!$L$7:$L$163,Outflows!$H$7:$H$163,$A40,Outflows!$M$7:$M$163,AC$6),IF($A40="Sales VAT",SUM(AC$8:AC$12)*Inputs!$B$7/(1+Inputs!$B$7),IF(AND(AC$6&gt;=$E40,AC$6&lt;=$F40,Budget!$M30&gt;0),$D40/Budget!$M30,0)))</f>
        <v>0</v>
      </c>
      <c r="AD40" s="35">
        <f>IF(AD$5="Actual",SUMIFS(Outflows!$L$7:$L$163,Outflows!$H$7:$H$163,$A40,Outflows!$M$7:$M$163,AD$6),IF($A40="Sales VAT",SUM(AD$8:AD$12)*Inputs!$B$7/(1+Inputs!$B$7),IF(AND(AD$6&gt;=$E40,AD$6&lt;=$F40,Budget!$M30&gt;0),$D40/Budget!$M30,0)))</f>
        <v>0</v>
      </c>
      <c r="AE40" s="35">
        <f>IF(AE$5="Actual",SUMIFS(Outflows!$L$7:$L$163,Outflows!$H$7:$H$163,$A40,Outflows!$M$7:$M$163,AE$6),IF($A40="Sales VAT",SUM(AE$8:AE$12)*Inputs!$B$7/(1+Inputs!$B$7),IF(AND(AE$6&gt;=$E40,AE$6&lt;=$F40,Budget!$M30&gt;0),$D40/Budget!$M30,0)))</f>
        <v>66238.311518322225</v>
      </c>
      <c r="AF40" s="35">
        <f>IF(AF$5="Actual",SUMIFS(Outflows!$L$7:$L$163,Outflows!$H$7:$H$163,$A40,Outflows!$M$7:$M$163,AF$6),IF($A40="Sales VAT",SUM(AF$8:AF$12)*Inputs!$B$7/(1+Inputs!$B$7),IF(AND(AF$6&gt;=$E40,AF$6&lt;=$F40,Budget!$M30&gt;0),$D40/Budget!$M30,0)))</f>
        <v>66238.311518322225</v>
      </c>
      <c r="AG40" s="35">
        <f>IF(AG$5="Actual",SUMIFS(Outflows!$L$7:$L$163,Outflows!$H$7:$H$163,$A40,Outflows!$M$7:$M$163,AG$6),IF($A40="Sales VAT",SUM(AG$8:AG$12)*Inputs!$B$7/(1+Inputs!$B$7),IF(AND(AG$6&gt;=$E40,AG$6&lt;=$F40,Budget!$M30&gt;0),$D40/Budget!$M30,0)))</f>
        <v>66238.311518322225</v>
      </c>
      <c r="AH40" s="35">
        <f>IF(AH$5="Actual",SUMIFS(Outflows!$L$7:$L$163,Outflows!$H$7:$H$163,$A40,Outflows!$M$7:$M$163,AH$6),IF($A40="Sales VAT",SUM(AH$8:AH$12)*Inputs!$B$7/(1+Inputs!$B$7),IF(AND(AH$6&gt;=$E40,AH$6&lt;=$F40,Budget!$M30&gt;0),$D40/Budget!$M30,0)))</f>
        <v>66238.311518322225</v>
      </c>
      <c r="AI40" s="35">
        <f>IF(AI$5="Actual",SUMIFS(Outflows!$L$7:$L$163,Outflows!$H$7:$H$163,$A40,Outflows!$M$7:$M$163,AI$6),IF($A40="Sales VAT",SUM(AI$8:AI$12)*Inputs!$B$7/(1+Inputs!$B$7),IF(AND(AI$6&gt;=$E40,AI$6&lt;=$F40,Budget!$M30&gt;0),$D40/Budget!$M30,0)))</f>
        <v>66238.311518322225</v>
      </c>
      <c r="AJ40" s="35">
        <f>IF(AJ$5="Actual",SUMIFS(Outflows!$L$7:$L$163,Outflows!$H$7:$H$163,$A40,Outflows!$M$7:$M$163,AJ$6),IF($A40="Sales VAT",SUM(AJ$8:AJ$12)*Inputs!$B$7/(1+Inputs!$B$7),IF(AND(AJ$6&gt;=$E40,AJ$6&lt;=$F40,Budget!$M30&gt;0),$D40/Budget!$M30,0)))</f>
        <v>66238.311518322225</v>
      </c>
      <c r="AK40" s="35">
        <f>IF(AK$5="Actual",SUMIFS(Outflows!$L$7:$L$163,Outflows!$H$7:$H$163,$A40,Outflows!$M$7:$M$163,AK$6),IF($A40="Sales VAT",SUM(AK$8:AK$12)*Inputs!$B$7/(1+Inputs!$B$7),IF(AND(AK$6&gt;=$E40,AK$6&lt;=$F40,Budget!$M30&gt;0),$D40/Budget!$M30,0)))</f>
        <v>66238.311518322225</v>
      </c>
      <c r="AL40" s="35">
        <f>IF(AL$5="Actual",SUMIFS(Outflows!$L$7:$L$163,Outflows!$H$7:$H$163,$A40,Outflows!$M$7:$M$163,AL$6),IF($A40="Sales VAT",SUM(AL$8:AL$12)*Inputs!$B$7/(1+Inputs!$B$7),IF(AND(AL$6&gt;=$E40,AL$6&lt;=$F40,Budget!$M30&gt;0),$D40/Budget!$M30,0)))</f>
        <v>66238.311518322225</v>
      </c>
      <c r="AM40" s="35">
        <f>IF(AM$5="Actual",SUMIFS(Outflows!$L$7:$L$163,Outflows!$H$7:$H$163,$A40,Outflows!$M$7:$M$163,AM$6),IF($A40="Sales VAT",SUM(AM$8:AM$12)*Inputs!$B$7/(1+Inputs!$B$7),IF(AND(AM$6&gt;=$E40,AM$6&lt;=$F40,Budget!$M30&gt;0),$D40/Budget!$M30,0)))</f>
        <v>66238.311518322225</v>
      </c>
      <c r="AN40" s="35">
        <f>IF(AN$5="Actual",SUMIFS(Outflows!$L$7:$L$163,Outflows!$H$7:$H$163,$A40,Outflows!$M$7:$M$163,AN$6),IF($A40="Sales VAT",SUM(AN$8:AN$12)*Inputs!$B$7/(1+Inputs!$B$7),IF(AND(AN$6&gt;=$E40,AN$6&lt;=$F40,Budget!$M30&gt;0),$D40/Budget!$M30,0)))</f>
        <v>66238.311518322225</v>
      </c>
      <c r="AO40" s="35">
        <f>IF(AO$5="Actual",SUMIFS(Outflows!$L$7:$L$163,Outflows!$H$7:$H$163,$A40,Outflows!$M$7:$M$163,AO$6),IF($A40="Sales VAT",SUM(AO$8:AO$12)*Inputs!$B$7/(1+Inputs!$B$7),IF(AND(AO$6&gt;=$E40,AO$6&lt;=$F40,Budget!$M30&gt;0),$D40/Budget!$M30,0)))</f>
        <v>66238.311518322225</v>
      </c>
      <c r="AP40" s="35">
        <f>IF(AP$5="Actual",SUMIFS(Outflows!$L$7:$L$163,Outflows!$H$7:$H$163,$A40,Outflows!$M$7:$M$163,AP$6),IF($A40="Sales VAT",SUM(AP$8:AP$12)*Inputs!$B$7/(1+Inputs!$B$7),IF(AND(AP$6&gt;=$E40,AP$6&lt;=$F40,Budget!$M30&gt;0),$D40/Budget!$M30,0)))</f>
        <v>66238.311518322225</v>
      </c>
      <c r="AQ40" s="35">
        <f>IF(AQ$5="Actual",SUMIFS(Outflows!$L$7:$L$163,Outflows!$H$7:$H$163,$A40,Outflows!$M$7:$M$163,AQ$6),IF($A40="Sales VAT",SUM(AQ$8:AQ$12)*Inputs!$B$7/(1+Inputs!$B$7),IF(AND(AQ$6&gt;=$E40,AQ$6&lt;=$F40,Budget!$M30&gt;0),$D40/Budget!$M30,0)))</f>
        <v>66238.311518322225</v>
      </c>
      <c r="AR40" s="35">
        <f>IF(AR$5="Actual",SUMIFS(Outflows!$L$7:$L$163,Outflows!$H$7:$H$163,$A40,Outflows!$M$7:$M$163,AR$6),IF($A40="Sales VAT",SUM(AR$8:AR$12)*Inputs!$B$7/(1+Inputs!$B$7),IF(AND(AR$6&gt;=$E40,AR$6&lt;=$F40,Budget!$M30&gt;0),$D40/Budget!$M30,0)))</f>
        <v>66238.311518322225</v>
      </c>
      <c r="AS40" s="35">
        <f>IF(AS$5="Actual",SUMIFS(Outflows!$L$7:$L$163,Outflows!$H$7:$H$163,$A40,Outflows!$M$7:$M$163,AS$6),IF($A40="Sales VAT",SUM(AS$8:AS$12)*Inputs!$B$7/(1+Inputs!$B$7),IF(AND(AS$6&gt;=$E40,AS$6&lt;=$F40,Budget!$M30&gt;0),$D40/Budget!$M30,0)))</f>
        <v>66238.311518322225</v>
      </c>
      <c r="AT40" s="35">
        <f>IF(AT$5="Actual",SUMIFS(Outflows!$L$7:$L$163,Outflows!$H$7:$H$163,$A40,Outflows!$M$7:$M$163,AT$6),IF($A40="Sales VAT",SUM(AT$8:AT$12)*Inputs!$B$7/(1+Inputs!$B$7),IF(AND(AT$6&gt;=$E40,AT$6&lt;=$F40,Budget!$M30&gt;0),$D40/Budget!$M30,0)))</f>
        <v>66238.311518322225</v>
      </c>
      <c r="AU40" s="35">
        <f>IF(AU$5="Actual",SUMIFS(Outflows!$L$7:$L$163,Outflows!$H$7:$H$163,$A40,Outflows!$M$7:$M$163,AU$6),IF($A40="Sales VAT",SUM(AU$8:AU$12)*Inputs!$B$7/(1+Inputs!$B$7),IF(AND(AU$6&gt;=$E40,AU$6&lt;=$F40,Budget!$M30&gt;0),$D40/Budget!$M30,0)))</f>
        <v>66238.311518322225</v>
      </c>
      <c r="AV40" s="35">
        <f>IF(AV$5="Actual",SUMIFS(Outflows!$L$7:$L$163,Outflows!$H$7:$H$163,$A40,Outflows!$M$7:$M$163,AV$6),IF($A40="Sales VAT",SUM(AV$8:AV$12)*Inputs!$B$7/(1+Inputs!$B$7),IF(AND(AV$6&gt;=$E40,AV$6&lt;=$F40,Budget!$M30&gt;0),$D40/Budget!$M30,0)))</f>
        <v>66238.311518322225</v>
      </c>
      <c r="AW40" s="35">
        <f>IF(AW$5="Actual",SUMIFS(Outflows!$L$7:$L$163,Outflows!$H$7:$H$163,$A40,Outflows!$M$7:$M$163,AW$6),IF($A40="Sales VAT",SUM(AW$8:AW$12)*Inputs!$B$7/(1+Inputs!$B$7),IF(AND(AW$6&gt;=$E40,AW$6&lt;=$F40,Budget!$M30&gt;0),$D40/Budget!$M30,0)))</f>
        <v>0</v>
      </c>
      <c r="AX40" s="35">
        <f>IF(AX$5="Actual",SUMIFS(Outflows!$L$7:$L$163,Outflows!$H$7:$H$163,$A40,Outflows!$M$7:$M$163,AX$6),IF($A40="Sales VAT",SUM(AX$8:AX$12)*Inputs!$B$7/(1+Inputs!$B$7),IF(AND(AX$6&gt;=$E40,AX$6&lt;=$F40,Budget!$M30&gt;0),$D40/Budget!$M30,0)))</f>
        <v>0</v>
      </c>
      <c r="AY40" s="35">
        <f>IF(AY$5="Actual",SUMIFS(Outflows!$L$7:$L$163,Outflows!$H$7:$H$163,$A40,Outflows!$M$7:$M$163,AY$6),IF($A40="Sales VAT",SUM(AY$8:AY$12)*Inputs!$B$7/(1+Inputs!$B$7),IF(AND(AY$6&gt;=$E40,AY$6&lt;=$F40,Budget!$M30&gt;0),$D40/Budget!$M30,0)))</f>
        <v>0</v>
      </c>
      <c r="AZ40" s="35">
        <f>IF(AZ$5="Actual",SUMIFS(Outflows!$L$7:$L$163,Outflows!$H$7:$H$163,$A40,Outflows!$M$7:$M$163,AZ$6),IF($A40="Sales VAT",SUM(AZ$8:AZ$12)*Inputs!$B$7/(1+Inputs!$B$7),IF(AND(AZ$6&gt;=$E40,AZ$6&lt;=$F40,Budget!$M30&gt;0),$D40/Budget!$M30,0)))</f>
        <v>0</v>
      </c>
      <c r="BA40" s="35">
        <f>IF(BA$5="Actual",SUMIFS(Outflows!$L$7:$L$163,Outflows!$H$7:$H$163,$A40,Outflows!$M$7:$M$163,BA$6),IF($A40="Sales VAT",SUM(BA$8:BA$12)*Inputs!$B$7/(1+Inputs!$B$7),IF(AND(BA$6&gt;=$E40,BA$6&lt;=$F40,Budget!$M30&gt;0),$D40/Budget!$M30,0)))</f>
        <v>0</v>
      </c>
    </row>
    <row r="41" spans="1:53">
      <c r="A41" s="6" t="str">
        <f>Budget!C31</f>
        <v>Interior Cost</v>
      </c>
      <c r="B41" s="35">
        <f>Budget!G31</f>
        <v>559813.33333299996</v>
      </c>
      <c r="C41" s="35">
        <f>Budget!H31</f>
        <v>0</v>
      </c>
      <c r="D41" s="35">
        <f>Budget!I31</f>
        <v>559813.33333299996</v>
      </c>
      <c r="E41" s="61">
        <f>Budget!K31</f>
        <v>45505</v>
      </c>
      <c r="F41" s="61">
        <f>Budget!L31</f>
        <v>45809</v>
      </c>
      <c r="G41" s="35">
        <f>IF(G$5="Actual",SUMIFS(Outflows!$L$7:$L$163,Outflows!$H$7:$H$163,$A41,Outflows!$M$7:$M$163,G$6),IF($A41="Sales VAT",SUM(G$8:G$12)*Inputs!$B$7/(1+Inputs!$B$7),IF(AND(G$6&gt;=$E41,G$6&lt;=$F41,Budget!$M31&gt;0),$D41/Budget!$M31,0)))</f>
        <v>0</v>
      </c>
      <c r="H41" s="35">
        <f>IF(H$5="Actual",SUMIFS(Outflows!$L$7:$L$163,Outflows!$H$7:$H$163,$A41,Outflows!$M$7:$M$163,H$6),IF($A41="Sales VAT",SUM(H$8:H$12)*Inputs!$B$7/(1+Inputs!$B$7),IF(AND(H$6&gt;=$E41,H$6&lt;=$F41,Budget!$M31&gt;0),$D41/Budget!$M31,0)))</f>
        <v>0</v>
      </c>
      <c r="I41" s="35">
        <f>IF(I$5="Actual",SUMIFS(Outflows!$L$7:$L$163,Outflows!$H$7:$H$163,$A41,Outflows!$M$7:$M$163,I$6),IF($A41="Sales VAT",SUM(I$8:I$12)*Inputs!$B$7/(1+Inputs!$B$7),IF(AND(I$6&gt;=$E41,I$6&lt;=$F41,Budget!$M31&gt;0),$D41/Budget!$M31,0)))</f>
        <v>0</v>
      </c>
      <c r="J41" s="35">
        <f>IF(J$5="Actual",SUMIFS(Outflows!$L$7:$L$163,Outflows!$H$7:$H$163,$A41,Outflows!$M$7:$M$163,J$6),IF($A41="Sales VAT",SUM(J$8:J$12)*Inputs!$B$7/(1+Inputs!$B$7),IF(AND(J$6&gt;=$E41,J$6&lt;=$F41,Budget!$M31&gt;0),$D41/Budget!$M31,0)))</f>
        <v>0</v>
      </c>
      <c r="K41" s="35">
        <f>IF(K$5="Actual",SUMIFS(Outflows!$L$7:$L$163,Outflows!$H$7:$H$163,$A41,Outflows!$M$7:$M$163,K$6),IF($A41="Sales VAT",SUM(K$8:K$12)*Inputs!$B$7/(1+Inputs!$B$7),IF(AND(K$6&gt;=$E41,K$6&lt;=$F41,Budget!$M31&gt;0),$D41/Budget!$M31,0)))</f>
        <v>0</v>
      </c>
      <c r="L41" s="35">
        <f>IF(L$5="Actual",SUMIFS(Outflows!$L$7:$L$163,Outflows!$H$7:$H$163,$A41,Outflows!$M$7:$M$163,L$6),IF($A41="Sales VAT",SUM(L$8:L$12)*Inputs!$B$7/(1+Inputs!$B$7),IF(AND(L$6&gt;=$E41,L$6&lt;=$F41,Budget!$M31&gt;0),$D41/Budget!$M31,0)))</f>
        <v>0</v>
      </c>
      <c r="M41" s="35">
        <f>IF(M$5="Actual",SUMIFS(Outflows!$L$7:$L$163,Outflows!$H$7:$H$163,$A41,Outflows!$M$7:$M$163,M$6),IF($A41="Sales VAT",SUM(M$8:M$12)*Inputs!$B$7/(1+Inputs!$B$7),IF(AND(M$6&gt;=$E41,M$6&lt;=$F41,Budget!$M31&gt;0),$D41/Budget!$M31,0)))</f>
        <v>0</v>
      </c>
      <c r="N41" s="35">
        <f>IF(N$5="Actual",SUMIFS(Outflows!$L$7:$L$163,Outflows!$H$7:$H$163,$A41,Outflows!$M$7:$M$163,N$6),IF($A41="Sales VAT",SUM(N$8:N$12)*Inputs!$B$7/(1+Inputs!$B$7),IF(AND(N$6&gt;=$E41,N$6&lt;=$F41,Budget!$M31&gt;0),$D41/Budget!$M31,0)))</f>
        <v>0</v>
      </c>
      <c r="O41" s="35">
        <f>IF(O$5="Actual",SUMIFS(Outflows!$L$7:$L$163,Outflows!$H$7:$H$163,$A41,Outflows!$M$7:$M$163,O$6),IF($A41="Sales VAT",SUM(O$8:O$12)*Inputs!$B$7/(1+Inputs!$B$7),IF(AND(O$6&gt;=$E41,O$6&lt;=$F41,Budget!$M31&gt;0),$D41/Budget!$M31,0)))</f>
        <v>0</v>
      </c>
      <c r="P41" s="35">
        <f>IF(P$5="Actual",SUMIFS(Outflows!$L$7:$L$163,Outflows!$H$7:$H$163,$A41,Outflows!$M$7:$M$163,P$6),IF($A41="Sales VAT",SUM(P$8:P$12)*Inputs!$B$7/(1+Inputs!$B$7),IF(AND(P$6&gt;=$E41,P$6&lt;=$F41,Budget!$M31&gt;0),$D41/Budget!$M31,0)))</f>
        <v>0</v>
      </c>
      <c r="Q41" s="35">
        <f>IF(Q$5="Actual",SUMIFS(Outflows!$L$7:$L$163,Outflows!$H$7:$H$163,$A41,Outflows!$M$7:$M$163,Q$6),IF($A41="Sales VAT",SUM(Q$8:Q$12)*Inputs!$B$7/(1+Inputs!$B$7),IF(AND(Q$6&gt;=$E41,Q$6&lt;=$F41,Budget!$M31&gt;0),$D41/Budget!$M31,0)))</f>
        <v>0</v>
      </c>
      <c r="R41" s="35">
        <f>IF(R$5="Actual",SUMIFS(Outflows!$L$7:$L$163,Outflows!$H$7:$H$163,$A41,Outflows!$M$7:$M$163,R$6),IF($A41="Sales VAT",SUM(R$8:R$12)*Inputs!$B$7/(1+Inputs!$B$7),IF(AND(R$6&gt;=$E41,R$6&lt;=$F41,Budget!$M31&gt;0),$D41/Budget!$M31,0)))</f>
        <v>0</v>
      </c>
      <c r="S41" s="35">
        <f>IF(S$5="Actual",SUMIFS(Outflows!$L$7:$L$163,Outflows!$H$7:$H$163,$A41,Outflows!$M$7:$M$163,S$6),IF($A41="Sales VAT",SUM(S$8:S$12)*Inputs!$B$7/(1+Inputs!$B$7),IF(AND(S$6&gt;=$E41,S$6&lt;=$F41,Budget!$M31&gt;0),$D41/Budget!$M31,0)))</f>
        <v>0</v>
      </c>
      <c r="T41" s="35">
        <f>IF(T$5="Actual",SUMIFS(Outflows!$L$7:$L$163,Outflows!$H$7:$H$163,$A41,Outflows!$M$7:$M$163,T$6),IF($A41="Sales VAT",SUM(T$8:T$12)*Inputs!$B$7/(1+Inputs!$B$7),IF(AND(T$6&gt;=$E41,T$6&lt;=$F41,Budget!$M31&gt;0),$D41/Budget!$M31,0)))</f>
        <v>0</v>
      </c>
      <c r="U41" s="35">
        <f>IF(U$5="Actual",SUMIFS(Outflows!$L$7:$L$163,Outflows!$H$7:$H$163,$A41,Outflows!$M$7:$M$163,U$6),IF($A41="Sales VAT",SUM(U$8:U$12)*Inputs!$B$7/(1+Inputs!$B$7),IF(AND(U$6&gt;=$E41,U$6&lt;=$F41,Budget!$M31&gt;0),$D41/Budget!$M31,0)))</f>
        <v>0</v>
      </c>
      <c r="V41" s="35">
        <f>IF(V$5="Actual",SUMIFS(Outflows!$L$7:$L$163,Outflows!$H$7:$H$163,$A41,Outflows!$M$7:$M$163,V$6),IF($A41="Sales VAT",SUM(V$8:V$12)*Inputs!$B$7/(1+Inputs!$B$7),IF(AND(V$6&gt;=$E41,V$6&lt;=$F41,Budget!$M31&gt;0),$D41/Budget!$M31,0)))</f>
        <v>0</v>
      </c>
      <c r="W41" s="35">
        <f>IF(W$5="Actual",SUMIFS(Outflows!$L$7:$L$163,Outflows!$H$7:$H$163,$A41,Outflows!$M$7:$M$163,W$6),IF($A41="Sales VAT",SUM(W$8:W$12)*Inputs!$B$7/(1+Inputs!$B$7),IF(AND(W$6&gt;=$E41,W$6&lt;=$F41,Budget!$M31&gt;0),$D41/Budget!$M31,0)))</f>
        <v>0</v>
      </c>
      <c r="X41" s="35">
        <f>IF(X$5="Actual",SUMIFS(Outflows!$L$7:$L$163,Outflows!$H$7:$H$163,$A41,Outflows!$M$7:$M$163,X$6),IF($A41="Sales VAT",SUM(X$8:X$12)*Inputs!$B$7/(1+Inputs!$B$7),IF(AND(X$6&gt;=$E41,X$6&lt;=$F41,Budget!$M31&gt;0),$D41/Budget!$M31,0)))</f>
        <v>0</v>
      </c>
      <c r="Y41" s="35">
        <f>IF(Y$5="Actual",SUMIFS(Outflows!$L$7:$L$163,Outflows!$H$7:$H$163,$A41,Outflows!$M$7:$M$163,Y$6),IF($A41="Sales VAT",SUM(Y$8:Y$12)*Inputs!$B$7/(1+Inputs!$B$7),IF(AND(Y$6&gt;=$E41,Y$6&lt;=$F41,Budget!$M31&gt;0),$D41/Budget!$M31,0)))</f>
        <v>0</v>
      </c>
      <c r="Z41" s="35">
        <f>IF(Z$5="Actual",SUMIFS(Outflows!$L$7:$L$163,Outflows!$H$7:$H$163,$A41,Outflows!$M$7:$M$163,Z$6),IF($A41="Sales VAT",SUM(Z$8:Z$12)*Inputs!$B$7/(1+Inputs!$B$7),IF(AND(Z$6&gt;=$E41,Z$6&lt;=$F41,Budget!$M31&gt;0),$D41/Budget!$M31,0)))</f>
        <v>0</v>
      </c>
      <c r="AA41" s="35">
        <f>IF(AA$5="Actual",SUMIFS(Outflows!$L$7:$L$163,Outflows!$H$7:$H$163,$A41,Outflows!$M$7:$M$163,AA$6),IF($A41="Sales VAT",SUM(AA$8:AA$12)*Inputs!$B$7/(1+Inputs!$B$7),IF(AND(AA$6&gt;=$E41,AA$6&lt;=$F41,Budget!$M31&gt;0),$D41/Budget!$M31,0)))</f>
        <v>0</v>
      </c>
      <c r="AB41" s="35">
        <f>IF(AB$5="Actual",SUMIFS(Outflows!$L$7:$L$163,Outflows!$H$7:$H$163,$A41,Outflows!$M$7:$M$163,AB$6),IF($A41="Sales VAT",SUM(AB$8:AB$12)*Inputs!$B$7/(1+Inputs!$B$7),IF(AND(AB$6&gt;=$E41,AB$6&lt;=$F41,Budget!$M31&gt;0),$D41/Budget!$M31,0)))</f>
        <v>0</v>
      </c>
      <c r="AC41" s="35">
        <f>IF(AC$5="Actual",SUMIFS(Outflows!$L$7:$L$163,Outflows!$H$7:$H$163,$A41,Outflows!$M$7:$M$163,AC$6),IF($A41="Sales VAT",SUM(AC$8:AC$12)*Inputs!$B$7/(1+Inputs!$B$7),IF(AND(AC$6&gt;=$E41,AC$6&lt;=$F41,Budget!$M31&gt;0),$D41/Budget!$M31,0)))</f>
        <v>0</v>
      </c>
      <c r="AD41" s="35">
        <f>IF(AD$5="Actual",SUMIFS(Outflows!$L$7:$L$163,Outflows!$H$7:$H$163,$A41,Outflows!$M$7:$M$163,AD$6),IF($A41="Sales VAT",SUM(AD$8:AD$12)*Inputs!$B$7/(1+Inputs!$B$7),IF(AND(AD$6&gt;=$E41,AD$6&lt;=$F41,Budget!$M31&gt;0),$D41/Budget!$M31,0)))</f>
        <v>0</v>
      </c>
      <c r="AE41" s="35">
        <f>IF(AE$5="Actual",SUMIFS(Outflows!$L$7:$L$163,Outflows!$H$7:$H$163,$A41,Outflows!$M$7:$M$163,AE$6),IF($A41="Sales VAT",SUM(AE$8:AE$12)*Inputs!$B$7/(1+Inputs!$B$7),IF(AND(AE$6&gt;=$E41,AE$6&lt;=$F41,Budget!$M31&gt;0),$D41/Budget!$M31,0)))</f>
        <v>0</v>
      </c>
      <c r="AF41" s="35">
        <f>IF(AF$5="Actual",SUMIFS(Outflows!$L$7:$L$163,Outflows!$H$7:$H$163,$A41,Outflows!$M$7:$M$163,AF$6),IF($A41="Sales VAT",SUM(AF$8:AF$12)*Inputs!$B$7/(1+Inputs!$B$7),IF(AND(AF$6&gt;=$E41,AF$6&lt;=$F41,Budget!$M31&gt;0),$D41/Budget!$M31,0)))</f>
        <v>0</v>
      </c>
      <c r="AG41" s="35">
        <f>IF(AG$5="Actual",SUMIFS(Outflows!$L$7:$L$163,Outflows!$H$7:$H$163,$A41,Outflows!$M$7:$M$163,AG$6),IF($A41="Sales VAT",SUM(AG$8:AG$12)*Inputs!$B$7/(1+Inputs!$B$7),IF(AND(AG$6&gt;=$E41,AG$6&lt;=$F41,Budget!$M31&gt;0),$D41/Budget!$M31,0)))</f>
        <v>0</v>
      </c>
      <c r="AH41" s="35">
        <f>IF(AH$5="Actual",SUMIFS(Outflows!$L$7:$L$163,Outflows!$H$7:$H$163,$A41,Outflows!$M$7:$M$163,AH$6),IF($A41="Sales VAT",SUM(AH$8:AH$12)*Inputs!$B$7/(1+Inputs!$B$7),IF(AND(AH$6&gt;=$E41,AH$6&lt;=$F41,Budget!$M31&gt;0),$D41/Budget!$M31,0)))</f>
        <v>0</v>
      </c>
      <c r="AI41" s="35">
        <f>IF(AI$5="Actual",SUMIFS(Outflows!$L$7:$L$163,Outflows!$H$7:$H$163,$A41,Outflows!$M$7:$M$163,AI$6),IF($A41="Sales VAT",SUM(AI$8:AI$12)*Inputs!$B$7/(1+Inputs!$B$7),IF(AND(AI$6&gt;=$E41,AI$6&lt;=$F41,Budget!$M31&gt;0),$D41/Budget!$M31,0)))</f>
        <v>0</v>
      </c>
      <c r="AJ41" s="35">
        <f>IF(AJ$5="Actual",SUMIFS(Outflows!$L$7:$L$163,Outflows!$H$7:$H$163,$A41,Outflows!$M$7:$M$163,AJ$6),IF($A41="Sales VAT",SUM(AJ$8:AJ$12)*Inputs!$B$7/(1+Inputs!$B$7),IF(AND(AJ$6&gt;=$E41,AJ$6&lt;=$F41,Budget!$M31&gt;0),$D41/Budget!$M31,0)))</f>
        <v>0</v>
      </c>
      <c r="AK41" s="35">
        <f>IF(AK$5="Actual",SUMIFS(Outflows!$L$7:$L$163,Outflows!$H$7:$H$163,$A41,Outflows!$M$7:$M$163,AK$6),IF($A41="Sales VAT",SUM(AK$8:AK$12)*Inputs!$B$7/(1+Inputs!$B$7),IF(AND(AK$6&gt;=$E41,AK$6&lt;=$F41,Budget!$M31&gt;0),$D41/Budget!$M31,0)))</f>
        <v>50892.121212090904</v>
      </c>
      <c r="AL41" s="35">
        <f>IF(AL$5="Actual",SUMIFS(Outflows!$L$7:$L$163,Outflows!$H$7:$H$163,$A41,Outflows!$M$7:$M$163,AL$6),IF($A41="Sales VAT",SUM(AL$8:AL$12)*Inputs!$B$7/(1+Inputs!$B$7),IF(AND(AL$6&gt;=$E41,AL$6&lt;=$F41,Budget!$M31&gt;0),$D41/Budget!$M31,0)))</f>
        <v>50892.121212090904</v>
      </c>
      <c r="AM41" s="35">
        <f>IF(AM$5="Actual",SUMIFS(Outflows!$L$7:$L$163,Outflows!$H$7:$H$163,$A41,Outflows!$M$7:$M$163,AM$6),IF($A41="Sales VAT",SUM(AM$8:AM$12)*Inputs!$B$7/(1+Inputs!$B$7),IF(AND(AM$6&gt;=$E41,AM$6&lt;=$F41,Budget!$M31&gt;0),$D41/Budget!$M31,0)))</f>
        <v>50892.121212090904</v>
      </c>
      <c r="AN41" s="35">
        <f>IF(AN$5="Actual",SUMIFS(Outflows!$L$7:$L$163,Outflows!$H$7:$H$163,$A41,Outflows!$M$7:$M$163,AN$6),IF($A41="Sales VAT",SUM(AN$8:AN$12)*Inputs!$B$7/(1+Inputs!$B$7),IF(AND(AN$6&gt;=$E41,AN$6&lt;=$F41,Budget!$M31&gt;0),$D41/Budget!$M31,0)))</f>
        <v>50892.121212090904</v>
      </c>
      <c r="AO41" s="35">
        <f>IF(AO$5="Actual",SUMIFS(Outflows!$L$7:$L$163,Outflows!$H$7:$H$163,$A41,Outflows!$M$7:$M$163,AO$6),IF($A41="Sales VAT",SUM(AO$8:AO$12)*Inputs!$B$7/(1+Inputs!$B$7),IF(AND(AO$6&gt;=$E41,AO$6&lt;=$F41,Budget!$M31&gt;0),$D41/Budget!$M31,0)))</f>
        <v>50892.121212090904</v>
      </c>
      <c r="AP41" s="35">
        <f>IF(AP$5="Actual",SUMIFS(Outflows!$L$7:$L$163,Outflows!$H$7:$H$163,$A41,Outflows!$M$7:$M$163,AP$6),IF($A41="Sales VAT",SUM(AP$8:AP$12)*Inputs!$B$7/(1+Inputs!$B$7),IF(AND(AP$6&gt;=$E41,AP$6&lt;=$F41,Budget!$M31&gt;0),$D41/Budget!$M31,0)))</f>
        <v>50892.121212090904</v>
      </c>
      <c r="AQ41" s="35">
        <f>IF(AQ$5="Actual",SUMIFS(Outflows!$L$7:$L$163,Outflows!$H$7:$H$163,$A41,Outflows!$M$7:$M$163,AQ$6),IF($A41="Sales VAT",SUM(AQ$8:AQ$12)*Inputs!$B$7/(1+Inputs!$B$7),IF(AND(AQ$6&gt;=$E41,AQ$6&lt;=$F41,Budget!$M31&gt;0),$D41/Budget!$M31,0)))</f>
        <v>50892.121212090904</v>
      </c>
      <c r="AR41" s="35">
        <f>IF(AR$5="Actual",SUMIFS(Outflows!$L$7:$L$163,Outflows!$H$7:$H$163,$A41,Outflows!$M$7:$M$163,AR$6),IF($A41="Sales VAT",SUM(AR$8:AR$12)*Inputs!$B$7/(1+Inputs!$B$7),IF(AND(AR$6&gt;=$E41,AR$6&lt;=$F41,Budget!$M31&gt;0),$D41/Budget!$M31,0)))</f>
        <v>50892.121212090904</v>
      </c>
      <c r="AS41" s="35">
        <f>IF(AS$5="Actual",SUMIFS(Outflows!$L$7:$L$163,Outflows!$H$7:$H$163,$A41,Outflows!$M$7:$M$163,AS$6),IF($A41="Sales VAT",SUM(AS$8:AS$12)*Inputs!$B$7/(1+Inputs!$B$7),IF(AND(AS$6&gt;=$E41,AS$6&lt;=$F41,Budget!$M31&gt;0),$D41/Budget!$M31,0)))</f>
        <v>50892.121212090904</v>
      </c>
      <c r="AT41" s="35">
        <f>IF(AT$5="Actual",SUMIFS(Outflows!$L$7:$L$163,Outflows!$H$7:$H$163,$A41,Outflows!$M$7:$M$163,AT$6),IF($A41="Sales VAT",SUM(AT$8:AT$12)*Inputs!$B$7/(1+Inputs!$B$7),IF(AND(AT$6&gt;=$E41,AT$6&lt;=$F41,Budget!$M31&gt;0),$D41/Budget!$M31,0)))</f>
        <v>50892.121212090904</v>
      </c>
      <c r="AU41" s="35">
        <f>IF(AU$5="Actual",SUMIFS(Outflows!$L$7:$L$163,Outflows!$H$7:$H$163,$A41,Outflows!$M$7:$M$163,AU$6),IF($A41="Sales VAT",SUM(AU$8:AU$12)*Inputs!$B$7/(1+Inputs!$B$7),IF(AND(AU$6&gt;=$E41,AU$6&lt;=$F41,Budget!$M31&gt;0),$D41/Budget!$M31,0)))</f>
        <v>50892.121212090904</v>
      </c>
      <c r="AV41" s="35">
        <f>IF(AV$5="Actual",SUMIFS(Outflows!$L$7:$L$163,Outflows!$H$7:$H$163,$A41,Outflows!$M$7:$M$163,AV$6),IF($A41="Sales VAT",SUM(AV$8:AV$12)*Inputs!$B$7/(1+Inputs!$B$7),IF(AND(AV$6&gt;=$E41,AV$6&lt;=$F41,Budget!$M31&gt;0),$D41/Budget!$M31,0)))</f>
        <v>0</v>
      </c>
      <c r="AW41" s="35">
        <f>IF(AW$5="Actual",SUMIFS(Outflows!$L$7:$L$163,Outflows!$H$7:$H$163,$A41,Outflows!$M$7:$M$163,AW$6),IF($A41="Sales VAT",SUM(AW$8:AW$12)*Inputs!$B$7/(1+Inputs!$B$7),IF(AND(AW$6&gt;=$E41,AW$6&lt;=$F41,Budget!$M31&gt;0),$D41/Budget!$M31,0)))</f>
        <v>0</v>
      </c>
      <c r="AX41" s="35">
        <f>IF(AX$5="Actual",SUMIFS(Outflows!$L$7:$L$163,Outflows!$H$7:$H$163,$A41,Outflows!$M$7:$M$163,AX$6),IF($A41="Sales VAT",SUM(AX$8:AX$12)*Inputs!$B$7/(1+Inputs!$B$7),IF(AND(AX$6&gt;=$E41,AX$6&lt;=$F41,Budget!$M31&gt;0),$D41/Budget!$M31,0)))</f>
        <v>0</v>
      </c>
      <c r="AY41" s="35">
        <f>IF(AY$5="Actual",SUMIFS(Outflows!$L$7:$L$163,Outflows!$H$7:$H$163,$A41,Outflows!$M$7:$M$163,AY$6),IF($A41="Sales VAT",SUM(AY$8:AY$12)*Inputs!$B$7/(1+Inputs!$B$7),IF(AND(AY$6&gt;=$E41,AY$6&lt;=$F41,Budget!$M31&gt;0),$D41/Budget!$M31,0)))</f>
        <v>0</v>
      </c>
      <c r="AZ41" s="35">
        <f>IF(AZ$5="Actual",SUMIFS(Outflows!$L$7:$L$163,Outflows!$H$7:$H$163,$A41,Outflows!$M$7:$M$163,AZ$6),IF($A41="Sales VAT",SUM(AZ$8:AZ$12)*Inputs!$B$7/(1+Inputs!$B$7),IF(AND(AZ$6&gt;=$E41,AZ$6&lt;=$F41,Budget!$M31&gt;0),$D41/Budget!$M31,0)))</f>
        <v>0</v>
      </c>
      <c r="BA41" s="35">
        <f>IF(BA$5="Actual",SUMIFS(Outflows!$L$7:$L$163,Outflows!$H$7:$H$163,$A41,Outflows!$M$7:$M$163,BA$6),IF($A41="Sales VAT",SUM(BA$8:BA$12)*Inputs!$B$7/(1+Inputs!$B$7),IF(AND(BA$6&gt;=$E41,BA$6&lt;=$F41,Budget!$M31&gt;0),$D41/Budget!$M31,0)))</f>
        <v>0</v>
      </c>
    </row>
    <row r="42" spans="1:53">
      <c r="A42" s="6" t="str">
        <f>Budget!C32</f>
        <v>Land Costs</v>
      </c>
      <c r="B42" s="35">
        <f>Budget!G32</f>
        <v>177120</v>
      </c>
      <c r="C42" s="35">
        <f>Budget!H32</f>
        <v>0</v>
      </c>
      <c r="D42" s="35">
        <f>Budget!I32</f>
        <v>177120</v>
      </c>
      <c r="E42" s="61">
        <f>Budget!K32</f>
        <v>45992</v>
      </c>
      <c r="F42" s="61">
        <f>Budget!L32</f>
        <v>45992</v>
      </c>
      <c r="G42" s="35">
        <f>IF(G$5="Actual",SUMIFS(Outflows!$L$7:$L$163,Outflows!$H$7:$H$163,$A42,Outflows!$M$7:$M$163,G$6),IF($A42="Sales VAT",SUM(G$8:G$12)*Inputs!$B$7/(1+Inputs!$B$7),IF(AND(G$6&gt;=$E42,G$6&lt;=$F42,Budget!$M32&gt;0),$D42/Budget!$M32,0)))</f>
        <v>0</v>
      </c>
      <c r="H42" s="35">
        <f>IF(H$5="Actual",SUMIFS(Outflows!$L$7:$L$163,Outflows!$H$7:$H$163,$A42,Outflows!$M$7:$M$163,H$6),IF($A42="Sales VAT",SUM(H$8:H$12)*Inputs!$B$7/(1+Inputs!$B$7),IF(AND(H$6&gt;=$E42,H$6&lt;=$F42,Budget!$M32&gt;0),$D42/Budget!$M32,0)))</f>
        <v>0</v>
      </c>
      <c r="I42" s="35">
        <f>IF(I$5="Actual",SUMIFS(Outflows!$L$7:$L$163,Outflows!$H$7:$H$163,$A42,Outflows!$M$7:$M$163,I$6),IF($A42="Sales VAT",SUM(I$8:I$12)*Inputs!$B$7/(1+Inputs!$B$7),IF(AND(I$6&gt;=$E42,I$6&lt;=$F42,Budget!$M32&gt;0),$D42/Budget!$M32,0)))</f>
        <v>0</v>
      </c>
      <c r="J42" s="35">
        <f>IF(J$5="Actual",SUMIFS(Outflows!$L$7:$L$163,Outflows!$H$7:$H$163,$A42,Outflows!$M$7:$M$163,J$6),IF($A42="Sales VAT",SUM(J$8:J$12)*Inputs!$B$7/(1+Inputs!$B$7),IF(AND(J$6&gt;=$E42,J$6&lt;=$F42,Budget!$M32&gt;0),$D42/Budget!$M32,0)))</f>
        <v>0</v>
      </c>
      <c r="K42" s="35">
        <f>IF(K$5="Actual",SUMIFS(Outflows!$L$7:$L$163,Outflows!$H$7:$H$163,$A42,Outflows!$M$7:$M$163,K$6),IF($A42="Sales VAT",SUM(K$8:K$12)*Inputs!$B$7/(1+Inputs!$B$7),IF(AND(K$6&gt;=$E42,K$6&lt;=$F42,Budget!$M32&gt;0),$D42/Budget!$M32,0)))</f>
        <v>0</v>
      </c>
      <c r="L42" s="35">
        <f>IF(L$5="Actual",SUMIFS(Outflows!$L$7:$L$163,Outflows!$H$7:$H$163,$A42,Outflows!$M$7:$M$163,L$6),IF($A42="Sales VAT",SUM(L$8:L$12)*Inputs!$B$7/(1+Inputs!$B$7),IF(AND(L$6&gt;=$E42,L$6&lt;=$F42,Budget!$M32&gt;0),$D42/Budget!$M32,0)))</f>
        <v>0</v>
      </c>
      <c r="M42" s="35">
        <f>IF(M$5="Actual",SUMIFS(Outflows!$L$7:$L$163,Outflows!$H$7:$H$163,$A42,Outflows!$M$7:$M$163,M$6),IF($A42="Sales VAT",SUM(M$8:M$12)*Inputs!$B$7/(1+Inputs!$B$7),IF(AND(M$6&gt;=$E42,M$6&lt;=$F42,Budget!$M32&gt;0),$D42/Budget!$M32,0)))</f>
        <v>0</v>
      </c>
      <c r="N42" s="35">
        <f>IF(N$5="Actual",SUMIFS(Outflows!$L$7:$L$163,Outflows!$H$7:$H$163,$A42,Outflows!$M$7:$M$163,N$6),IF($A42="Sales VAT",SUM(N$8:N$12)*Inputs!$B$7/(1+Inputs!$B$7),IF(AND(N$6&gt;=$E42,N$6&lt;=$F42,Budget!$M32&gt;0),$D42/Budget!$M32,0)))</f>
        <v>0</v>
      </c>
      <c r="O42" s="35">
        <f>IF(O$5="Actual",SUMIFS(Outflows!$L$7:$L$163,Outflows!$H$7:$H$163,$A42,Outflows!$M$7:$M$163,O$6),IF($A42="Sales VAT",SUM(O$8:O$12)*Inputs!$B$7/(1+Inputs!$B$7),IF(AND(O$6&gt;=$E42,O$6&lt;=$F42,Budget!$M32&gt;0),$D42/Budget!$M32,0)))</f>
        <v>0</v>
      </c>
      <c r="P42" s="35">
        <f>IF(P$5="Actual",SUMIFS(Outflows!$L$7:$L$163,Outflows!$H$7:$H$163,$A42,Outflows!$M$7:$M$163,P$6),IF($A42="Sales VAT",SUM(P$8:P$12)*Inputs!$B$7/(1+Inputs!$B$7),IF(AND(P$6&gt;=$E42,P$6&lt;=$F42,Budget!$M32&gt;0),$D42/Budget!$M32,0)))</f>
        <v>0</v>
      </c>
      <c r="Q42" s="35">
        <f>IF(Q$5="Actual",SUMIFS(Outflows!$L$7:$L$163,Outflows!$H$7:$H$163,$A42,Outflows!$M$7:$M$163,Q$6),IF($A42="Sales VAT",SUM(Q$8:Q$12)*Inputs!$B$7/(1+Inputs!$B$7),IF(AND(Q$6&gt;=$E42,Q$6&lt;=$F42,Budget!$M32&gt;0),$D42/Budget!$M32,0)))</f>
        <v>0</v>
      </c>
      <c r="R42" s="35">
        <f>IF(R$5="Actual",SUMIFS(Outflows!$L$7:$L$163,Outflows!$H$7:$H$163,$A42,Outflows!$M$7:$M$163,R$6),IF($A42="Sales VAT",SUM(R$8:R$12)*Inputs!$B$7/(1+Inputs!$B$7),IF(AND(R$6&gt;=$E42,R$6&lt;=$F42,Budget!$M32&gt;0),$D42/Budget!$M32,0)))</f>
        <v>0</v>
      </c>
      <c r="S42" s="35">
        <f>IF(S$5="Actual",SUMIFS(Outflows!$L$7:$L$163,Outflows!$H$7:$H$163,$A42,Outflows!$M$7:$M$163,S$6),IF($A42="Sales VAT",SUM(S$8:S$12)*Inputs!$B$7/(1+Inputs!$B$7),IF(AND(S$6&gt;=$E42,S$6&lt;=$F42,Budget!$M32&gt;0),$D42/Budget!$M32,0)))</f>
        <v>0</v>
      </c>
      <c r="T42" s="35">
        <f>IF(T$5="Actual",SUMIFS(Outflows!$L$7:$L$163,Outflows!$H$7:$H$163,$A42,Outflows!$M$7:$M$163,T$6),IF($A42="Sales VAT",SUM(T$8:T$12)*Inputs!$B$7/(1+Inputs!$B$7),IF(AND(T$6&gt;=$E42,T$6&lt;=$F42,Budget!$M32&gt;0),$D42/Budget!$M32,0)))</f>
        <v>0</v>
      </c>
      <c r="U42" s="35">
        <f>IF(U$5="Actual",SUMIFS(Outflows!$L$7:$L$163,Outflows!$H$7:$H$163,$A42,Outflows!$M$7:$M$163,U$6),IF($A42="Sales VAT",SUM(U$8:U$12)*Inputs!$B$7/(1+Inputs!$B$7),IF(AND(U$6&gt;=$E42,U$6&lt;=$F42,Budget!$M32&gt;0),$D42/Budget!$M32,0)))</f>
        <v>0</v>
      </c>
      <c r="V42" s="35">
        <f>IF(V$5="Actual",SUMIFS(Outflows!$L$7:$L$163,Outflows!$H$7:$H$163,$A42,Outflows!$M$7:$M$163,V$6),IF($A42="Sales VAT",SUM(V$8:V$12)*Inputs!$B$7/(1+Inputs!$B$7),IF(AND(V$6&gt;=$E42,V$6&lt;=$F42,Budget!$M32&gt;0),$D42/Budget!$M32,0)))</f>
        <v>0</v>
      </c>
      <c r="W42" s="35">
        <f>IF(W$5="Actual",SUMIFS(Outflows!$L$7:$L$163,Outflows!$H$7:$H$163,$A42,Outflows!$M$7:$M$163,W$6),IF($A42="Sales VAT",SUM(W$8:W$12)*Inputs!$B$7/(1+Inputs!$B$7),IF(AND(W$6&gt;=$E42,W$6&lt;=$F42,Budget!$M32&gt;0),$D42/Budget!$M32,0)))</f>
        <v>0</v>
      </c>
      <c r="X42" s="35">
        <f>IF(X$5="Actual",SUMIFS(Outflows!$L$7:$L$163,Outflows!$H$7:$H$163,$A42,Outflows!$M$7:$M$163,X$6),IF($A42="Sales VAT",SUM(X$8:X$12)*Inputs!$B$7/(1+Inputs!$B$7),IF(AND(X$6&gt;=$E42,X$6&lt;=$F42,Budget!$M32&gt;0),$D42/Budget!$M32,0)))</f>
        <v>0</v>
      </c>
      <c r="Y42" s="35">
        <f>IF(Y$5="Actual",SUMIFS(Outflows!$L$7:$L$163,Outflows!$H$7:$H$163,$A42,Outflows!$M$7:$M$163,Y$6),IF($A42="Sales VAT",SUM(Y$8:Y$12)*Inputs!$B$7/(1+Inputs!$B$7),IF(AND(Y$6&gt;=$E42,Y$6&lt;=$F42,Budget!$M32&gt;0),$D42/Budget!$M32,0)))</f>
        <v>0</v>
      </c>
      <c r="Z42" s="35">
        <f>IF(Z$5="Actual",SUMIFS(Outflows!$L$7:$L$163,Outflows!$H$7:$H$163,$A42,Outflows!$M$7:$M$163,Z$6),IF($A42="Sales VAT",SUM(Z$8:Z$12)*Inputs!$B$7/(1+Inputs!$B$7),IF(AND(Z$6&gt;=$E42,Z$6&lt;=$F42,Budget!$M32&gt;0),$D42/Budget!$M32,0)))</f>
        <v>0</v>
      </c>
      <c r="AA42" s="35">
        <f>IF(AA$5="Actual",SUMIFS(Outflows!$L$7:$L$163,Outflows!$H$7:$H$163,$A42,Outflows!$M$7:$M$163,AA$6),IF($A42="Sales VAT",SUM(AA$8:AA$12)*Inputs!$B$7/(1+Inputs!$B$7),IF(AND(AA$6&gt;=$E42,AA$6&lt;=$F42,Budget!$M32&gt;0),$D42/Budget!$M32,0)))</f>
        <v>0</v>
      </c>
      <c r="AB42" s="35">
        <f>IF(AB$5="Actual",SUMIFS(Outflows!$L$7:$L$163,Outflows!$H$7:$H$163,$A42,Outflows!$M$7:$M$163,AB$6),IF($A42="Sales VAT",SUM(AB$8:AB$12)*Inputs!$B$7/(1+Inputs!$B$7),IF(AND(AB$6&gt;=$E42,AB$6&lt;=$F42,Budget!$M32&gt;0),$D42/Budget!$M32,0)))</f>
        <v>0</v>
      </c>
      <c r="AC42" s="35">
        <f>IF(AC$5="Actual",SUMIFS(Outflows!$L$7:$L$163,Outflows!$H$7:$H$163,$A42,Outflows!$M$7:$M$163,AC$6),IF($A42="Sales VAT",SUM(AC$8:AC$12)*Inputs!$B$7/(1+Inputs!$B$7),IF(AND(AC$6&gt;=$E42,AC$6&lt;=$F42,Budget!$M32&gt;0),$D42/Budget!$M32,0)))</f>
        <v>0</v>
      </c>
      <c r="AD42" s="35">
        <f>IF(AD$5="Actual",SUMIFS(Outflows!$L$7:$L$163,Outflows!$H$7:$H$163,$A42,Outflows!$M$7:$M$163,AD$6),IF($A42="Sales VAT",SUM(AD$8:AD$12)*Inputs!$B$7/(1+Inputs!$B$7),IF(AND(AD$6&gt;=$E42,AD$6&lt;=$F42,Budget!$M32&gt;0),$D42/Budget!$M32,0)))</f>
        <v>0</v>
      </c>
      <c r="AE42" s="35">
        <f>IF(AE$5="Actual",SUMIFS(Outflows!$L$7:$L$163,Outflows!$H$7:$H$163,$A42,Outflows!$M$7:$M$163,AE$6),IF($A42="Sales VAT",SUM(AE$8:AE$12)*Inputs!$B$7/(1+Inputs!$B$7),IF(AND(AE$6&gt;=$E42,AE$6&lt;=$F42,Budget!$M32&gt;0),$D42/Budget!$M32,0)))</f>
        <v>0</v>
      </c>
      <c r="AF42" s="35">
        <f>IF(AF$5="Actual",SUMIFS(Outflows!$L$7:$L$163,Outflows!$H$7:$H$163,$A42,Outflows!$M$7:$M$163,AF$6),IF($A42="Sales VAT",SUM(AF$8:AF$12)*Inputs!$B$7/(1+Inputs!$B$7),IF(AND(AF$6&gt;=$E42,AF$6&lt;=$F42,Budget!$M32&gt;0),$D42/Budget!$M32,0)))</f>
        <v>0</v>
      </c>
      <c r="AG42" s="35">
        <f>IF(AG$5="Actual",SUMIFS(Outflows!$L$7:$L$163,Outflows!$H$7:$H$163,$A42,Outflows!$M$7:$M$163,AG$6),IF($A42="Sales VAT",SUM(AG$8:AG$12)*Inputs!$B$7/(1+Inputs!$B$7),IF(AND(AG$6&gt;=$E42,AG$6&lt;=$F42,Budget!$M32&gt;0),$D42/Budget!$M32,0)))</f>
        <v>0</v>
      </c>
      <c r="AH42" s="35">
        <f>IF(AH$5="Actual",SUMIFS(Outflows!$L$7:$L$163,Outflows!$H$7:$H$163,$A42,Outflows!$M$7:$M$163,AH$6),IF($A42="Sales VAT",SUM(AH$8:AH$12)*Inputs!$B$7/(1+Inputs!$B$7),IF(AND(AH$6&gt;=$E42,AH$6&lt;=$F42,Budget!$M32&gt;0),$D42/Budget!$M32,0)))</f>
        <v>0</v>
      </c>
      <c r="AI42" s="35">
        <f>IF(AI$5="Actual",SUMIFS(Outflows!$L$7:$L$163,Outflows!$H$7:$H$163,$A42,Outflows!$M$7:$M$163,AI$6),IF($A42="Sales VAT",SUM(AI$8:AI$12)*Inputs!$B$7/(1+Inputs!$B$7),IF(AND(AI$6&gt;=$E42,AI$6&lt;=$F42,Budget!$M32&gt;0),$D42/Budget!$M32,0)))</f>
        <v>0</v>
      </c>
      <c r="AJ42" s="35">
        <f>IF(AJ$5="Actual",SUMIFS(Outflows!$L$7:$L$163,Outflows!$H$7:$H$163,$A42,Outflows!$M$7:$M$163,AJ$6),IF($A42="Sales VAT",SUM(AJ$8:AJ$12)*Inputs!$B$7/(1+Inputs!$B$7),IF(AND(AJ$6&gt;=$E42,AJ$6&lt;=$F42,Budget!$M32&gt;0),$D42/Budget!$M32,0)))</f>
        <v>0</v>
      </c>
      <c r="AK42" s="35">
        <f>IF(AK$5="Actual",SUMIFS(Outflows!$L$7:$L$163,Outflows!$H$7:$H$163,$A42,Outflows!$M$7:$M$163,AK$6),IF($A42="Sales VAT",SUM(AK$8:AK$12)*Inputs!$B$7/(1+Inputs!$B$7),IF(AND(AK$6&gt;=$E42,AK$6&lt;=$F42,Budget!$M32&gt;0),$D42/Budget!$M32,0)))</f>
        <v>0</v>
      </c>
      <c r="AL42" s="35">
        <f>IF(AL$5="Actual",SUMIFS(Outflows!$L$7:$L$163,Outflows!$H$7:$H$163,$A42,Outflows!$M$7:$M$163,AL$6),IF($A42="Sales VAT",SUM(AL$8:AL$12)*Inputs!$B$7/(1+Inputs!$B$7),IF(AND(AL$6&gt;=$E42,AL$6&lt;=$F42,Budget!$M32&gt;0),$D42/Budget!$M32,0)))</f>
        <v>0</v>
      </c>
      <c r="AM42" s="35">
        <f>IF(AM$5="Actual",SUMIFS(Outflows!$L$7:$L$163,Outflows!$H$7:$H$163,$A42,Outflows!$M$7:$M$163,AM$6),IF($A42="Sales VAT",SUM(AM$8:AM$12)*Inputs!$B$7/(1+Inputs!$B$7),IF(AND(AM$6&gt;=$E42,AM$6&lt;=$F42,Budget!$M32&gt;0),$D42/Budget!$M32,0)))</f>
        <v>0</v>
      </c>
      <c r="AN42" s="35">
        <f>IF(AN$5="Actual",SUMIFS(Outflows!$L$7:$L$163,Outflows!$H$7:$H$163,$A42,Outflows!$M$7:$M$163,AN$6),IF($A42="Sales VAT",SUM(AN$8:AN$12)*Inputs!$B$7/(1+Inputs!$B$7),IF(AND(AN$6&gt;=$E42,AN$6&lt;=$F42,Budget!$M32&gt;0),$D42/Budget!$M32,0)))</f>
        <v>0</v>
      </c>
      <c r="AO42" s="35">
        <f>IF(AO$5="Actual",SUMIFS(Outflows!$L$7:$L$163,Outflows!$H$7:$H$163,$A42,Outflows!$M$7:$M$163,AO$6),IF($A42="Sales VAT",SUM(AO$8:AO$12)*Inputs!$B$7/(1+Inputs!$B$7),IF(AND(AO$6&gt;=$E42,AO$6&lt;=$F42,Budget!$M32&gt;0),$D42/Budget!$M32,0)))</f>
        <v>0</v>
      </c>
      <c r="AP42" s="35">
        <f>IF(AP$5="Actual",SUMIFS(Outflows!$L$7:$L$163,Outflows!$H$7:$H$163,$A42,Outflows!$M$7:$M$163,AP$6),IF($A42="Sales VAT",SUM(AP$8:AP$12)*Inputs!$B$7/(1+Inputs!$B$7),IF(AND(AP$6&gt;=$E42,AP$6&lt;=$F42,Budget!$M32&gt;0),$D42/Budget!$M32,0)))</f>
        <v>0</v>
      </c>
      <c r="AQ42" s="35">
        <f>IF(AQ$5="Actual",SUMIFS(Outflows!$L$7:$L$163,Outflows!$H$7:$H$163,$A42,Outflows!$M$7:$M$163,AQ$6),IF($A42="Sales VAT",SUM(AQ$8:AQ$12)*Inputs!$B$7/(1+Inputs!$B$7),IF(AND(AQ$6&gt;=$E42,AQ$6&lt;=$F42,Budget!$M32&gt;0),$D42/Budget!$M32,0)))</f>
        <v>0</v>
      </c>
      <c r="AR42" s="35">
        <f>IF(AR$5="Actual",SUMIFS(Outflows!$L$7:$L$163,Outflows!$H$7:$H$163,$A42,Outflows!$M$7:$M$163,AR$6),IF($A42="Sales VAT",SUM(AR$8:AR$12)*Inputs!$B$7/(1+Inputs!$B$7),IF(AND(AR$6&gt;=$E42,AR$6&lt;=$F42,Budget!$M32&gt;0),$D42/Budget!$M32,0)))</f>
        <v>0</v>
      </c>
      <c r="AS42" s="35">
        <f>IF(AS$5="Actual",SUMIFS(Outflows!$L$7:$L$163,Outflows!$H$7:$H$163,$A42,Outflows!$M$7:$M$163,AS$6),IF($A42="Sales VAT",SUM(AS$8:AS$12)*Inputs!$B$7/(1+Inputs!$B$7),IF(AND(AS$6&gt;=$E42,AS$6&lt;=$F42,Budget!$M32&gt;0),$D42/Budget!$M32,0)))</f>
        <v>0</v>
      </c>
      <c r="AT42" s="35">
        <f>IF(AT$5="Actual",SUMIFS(Outflows!$L$7:$L$163,Outflows!$H$7:$H$163,$A42,Outflows!$M$7:$M$163,AT$6),IF($A42="Sales VAT",SUM(AT$8:AT$12)*Inputs!$B$7/(1+Inputs!$B$7),IF(AND(AT$6&gt;=$E42,AT$6&lt;=$F42,Budget!$M32&gt;0),$D42/Budget!$M32,0)))</f>
        <v>0</v>
      </c>
      <c r="AU42" s="35">
        <f>IF(AU$5="Actual",SUMIFS(Outflows!$L$7:$L$163,Outflows!$H$7:$H$163,$A42,Outflows!$M$7:$M$163,AU$6),IF($A42="Sales VAT",SUM(AU$8:AU$12)*Inputs!$B$7/(1+Inputs!$B$7),IF(AND(AU$6&gt;=$E42,AU$6&lt;=$F42,Budget!$M32&gt;0),$D42/Budget!$M32,0)))</f>
        <v>0</v>
      </c>
      <c r="AV42" s="35">
        <f>IF(AV$5="Actual",SUMIFS(Outflows!$L$7:$L$163,Outflows!$H$7:$H$163,$A42,Outflows!$M$7:$M$163,AV$6),IF($A42="Sales VAT",SUM(AV$8:AV$12)*Inputs!$B$7/(1+Inputs!$B$7),IF(AND(AV$6&gt;=$E42,AV$6&lt;=$F42,Budget!$M32&gt;0),$D42/Budget!$M32,0)))</f>
        <v>0</v>
      </c>
      <c r="AW42" s="35">
        <f>IF(AW$5="Actual",SUMIFS(Outflows!$L$7:$L$163,Outflows!$H$7:$H$163,$A42,Outflows!$M$7:$M$163,AW$6),IF($A42="Sales VAT",SUM(AW$8:AW$12)*Inputs!$B$7/(1+Inputs!$B$7),IF(AND(AW$6&gt;=$E42,AW$6&lt;=$F42,Budget!$M32&gt;0),$D42/Budget!$M32,0)))</f>
        <v>0</v>
      </c>
      <c r="AX42" s="35">
        <f>IF(AX$5="Actual",SUMIFS(Outflows!$L$7:$L$163,Outflows!$H$7:$H$163,$A42,Outflows!$M$7:$M$163,AX$6),IF($A42="Sales VAT",SUM(AX$8:AX$12)*Inputs!$B$7/(1+Inputs!$B$7),IF(AND(AX$6&gt;=$E42,AX$6&lt;=$F42,Budget!$M32&gt;0),$D42/Budget!$M32,0)))</f>
        <v>0</v>
      </c>
      <c r="AY42" s="35">
        <f>IF(AY$5="Actual",SUMIFS(Outflows!$L$7:$L$163,Outflows!$H$7:$H$163,$A42,Outflows!$M$7:$M$163,AY$6),IF($A42="Sales VAT",SUM(AY$8:AY$12)*Inputs!$B$7/(1+Inputs!$B$7),IF(AND(AY$6&gt;=$E42,AY$6&lt;=$F42,Budget!$M32&gt;0),$D42/Budget!$M32,0)))</f>
        <v>0</v>
      </c>
      <c r="AZ42" s="35">
        <f>IF(AZ$5="Actual",SUMIFS(Outflows!$L$7:$L$163,Outflows!$H$7:$H$163,$A42,Outflows!$M$7:$M$163,AZ$6),IF($A42="Sales VAT",SUM(AZ$8:AZ$12)*Inputs!$B$7/(1+Inputs!$B$7),IF(AND(AZ$6&gt;=$E42,AZ$6&lt;=$F42,Budget!$M32&gt;0),$D42/Budget!$M32,0)))</f>
        <v>0</v>
      </c>
      <c r="BA42" s="35">
        <f>IF(BA$5="Actual",SUMIFS(Outflows!$L$7:$L$163,Outflows!$H$7:$H$163,$A42,Outflows!$M$7:$M$163,BA$6),IF($A42="Sales VAT",SUM(BA$8:BA$12)*Inputs!$B$7/(1+Inputs!$B$7),IF(AND(BA$6&gt;=$E42,BA$6&lt;=$F42,Budget!$M32&gt;0),$D42/Budget!$M32,0)))</f>
        <v>177120</v>
      </c>
    </row>
    <row r="43" spans="1:53">
      <c r="A43" s="6" t="str">
        <f>Budget!C33</f>
        <v>Income tax</v>
      </c>
      <c r="B43" s="35">
        <f>Budget!G33</f>
        <v>280442.82634198957</v>
      </c>
      <c r="C43" s="35">
        <f>Budget!H33</f>
        <v>0</v>
      </c>
      <c r="D43" s="35">
        <f>Budget!I33</f>
        <v>280442.82634198957</v>
      </c>
      <c r="E43" s="61">
        <f>Budget!K33</f>
        <v>45992</v>
      </c>
      <c r="F43" s="61">
        <f>Budget!L33</f>
        <v>45992</v>
      </c>
      <c r="G43" s="35">
        <f>IF(G$5="Actual",SUMIFS(Outflows!$L$7:$L$163,Outflows!$H$7:$H$163,$A43,Outflows!$M$7:$M$163,G$6),IF($A43="Sales VAT",SUM(G$8:G$12)*Inputs!$B$7/(1+Inputs!$B$7),IF(AND(G$6&gt;=$E43,G$6&lt;=$F43,Budget!$M33&gt;0),$D43/Budget!$M33,0)))</f>
        <v>0</v>
      </c>
      <c r="H43" s="35">
        <f>IF(H$5="Actual",SUMIFS(Outflows!$L$7:$L$163,Outflows!$H$7:$H$163,$A43,Outflows!$M$7:$M$163,H$6),IF($A43="Sales VAT",SUM(H$8:H$12)*Inputs!$B$7/(1+Inputs!$B$7),IF(AND(H$6&gt;=$E43,H$6&lt;=$F43,Budget!$M33&gt;0),$D43/Budget!$M33,0)))</f>
        <v>0</v>
      </c>
      <c r="I43" s="35">
        <f>IF(I$5="Actual",SUMIFS(Outflows!$L$7:$L$163,Outflows!$H$7:$H$163,$A43,Outflows!$M$7:$M$163,I$6),IF($A43="Sales VAT",SUM(I$8:I$12)*Inputs!$B$7/(1+Inputs!$B$7),IF(AND(I$6&gt;=$E43,I$6&lt;=$F43,Budget!$M33&gt;0),$D43/Budget!$M33,0)))</f>
        <v>0</v>
      </c>
      <c r="J43" s="35">
        <f>IF(J$5="Actual",SUMIFS(Outflows!$L$7:$L$163,Outflows!$H$7:$H$163,$A43,Outflows!$M$7:$M$163,J$6),IF($A43="Sales VAT",SUM(J$8:J$12)*Inputs!$B$7/(1+Inputs!$B$7),IF(AND(J$6&gt;=$E43,J$6&lt;=$F43,Budget!$M33&gt;0),$D43/Budget!$M33,0)))</f>
        <v>0</v>
      </c>
      <c r="K43" s="35">
        <f>IF(K$5="Actual",SUMIFS(Outflows!$L$7:$L$163,Outflows!$H$7:$H$163,$A43,Outflows!$M$7:$M$163,K$6),IF($A43="Sales VAT",SUM(K$8:K$12)*Inputs!$B$7/(1+Inputs!$B$7),IF(AND(K$6&gt;=$E43,K$6&lt;=$F43,Budget!$M33&gt;0),$D43/Budget!$M33,0)))</f>
        <v>0</v>
      </c>
      <c r="L43" s="35">
        <f>IF(L$5="Actual",SUMIFS(Outflows!$L$7:$L$163,Outflows!$H$7:$H$163,$A43,Outflows!$M$7:$M$163,L$6),IF($A43="Sales VAT",SUM(L$8:L$12)*Inputs!$B$7/(1+Inputs!$B$7),IF(AND(L$6&gt;=$E43,L$6&lt;=$F43,Budget!$M33&gt;0),$D43/Budget!$M33,0)))</f>
        <v>0</v>
      </c>
      <c r="M43" s="35">
        <f>IF(M$5="Actual",SUMIFS(Outflows!$L$7:$L$163,Outflows!$H$7:$H$163,$A43,Outflows!$M$7:$M$163,M$6),IF($A43="Sales VAT",SUM(M$8:M$12)*Inputs!$B$7/(1+Inputs!$B$7),IF(AND(M$6&gt;=$E43,M$6&lt;=$F43,Budget!$M33&gt;0),$D43/Budget!$M33,0)))</f>
        <v>0</v>
      </c>
      <c r="N43" s="35">
        <f>IF(N$5="Actual",SUMIFS(Outflows!$L$7:$L$163,Outflows!$H$7:$H$163,$A43,Outflows!$M$7:$M$163,N$6),IF($A43="Sales VAT",SUM(N$8:N$12)*Inputs!$B$7/(1+Inputs!$B$7),IF(AND(N$6&gt;=$E43,N$6&lt;=$F43,Budget!$M33&gt;0),$D43/Budget!$M33,0)))</f>
        <v>0</v>
      </c>
      <c r="O43" s="35">
        <f>IF(O$5="Actual",SUMIFS(Outflows!$L$7:$L$163,Outflows!$H$7:$H$163,$A43,Outflows!$M$7:$M$163,O$6),IF($A43="Sales VAT",SUM(O$8:O$12)*Inputs!$B$7/(1+Inputs!$B$7),IF(AND(O$6&gt;=$E43,O$6&lt;=$F43,Budget!$M33&gt;0),$D43/Budget!$M33,0)))</f>
        <v>0</v>
      </c>
      <c r="P43" s="35">
        <f>IF(P$5="Actual",SUMIFS(Outflows!$L$7:$L$163,Outflows!$H$7:$H$163,$A43,Outflows!$M$7:$M$163,P$6),IF($A43="Sales VAT",SUM(P$8:P$12)*Inputs!$B$7/(1+Inputs!$B$7),IF(AND(P$6&gt;=$E43,P$6&lt;=$F43,Budget!$M33&gt;0),$D43/Budget!$M33,0)))</f>
        <v>0</v>
      </c>
      <c r="Q43" s="35">
        <f>IF(Q$5="Actual",SUMIFS(Outflows!$L$7:$L$163,Outflows!$H$7:$H$163,$A43,Outflows!$M$7:$M$163,Q$6),IF($A43="Sales VAT",SUM(Q$8:Q$12)*Inputs!$B$7/(1+Inputs!$B$7),IF(AND(Q$6&gt;=$E43,Q$6&lt;=$F43,Budget!$M33&gt;0),$D43/Budget!$M33,0)))</f>
        <v>0</v>
      </c>
      <c r="R43" s="35">
        <f>IF(R$5="Actual",SUMIFS(Outflows!$L$7:$L$163,Outflows!$H$7:$H$163,$A43,Outflows!$M$7:$M$163,R$6),IF($A43="Sales VAT",SUM(R$8:R$12)*Inputs!$B$7/(1+Inputs!$B$7),IF(AND(R$6&gt;=$E43,R$6&lt;=$F43,Budget!$M33&gt;0),$D43/Budget!$M33,0)))</f>
        <v>0</v>
      </c>
      <c r="S43" s="35">
        <f>IF(S$5="Actual",SUMIFS(Outflows!$L$7:$L$163,Outflows!$H$7:$H$163,$A43,Outflows!$M$7:$M$163,S$6),IF($A43="Sales VAT",SUM(S$8:S$12)*Inputs!$B$7/(1+Inputs!$B$7),IF(AND(S$6&gt;=$E43,S$6&lt;=$F43,Budget!$M33&gt;0),$D43/Budget!$M33,0)))</f>
        <v>0</v>
      </c>
      <c r="T43" s="35">
        <f>IF(T$5="Actual",SUMIFS(Outflows!$L$7:$L$163,Outflows!$H$7:$H$163,$A43,Outflows!$M$7:$M$163,T$6),IF($A43="Sales VAT",SUM(T$8:T$12)*Inputs!$B$7/(1+Inputs!$B$7),IF(AND(T$6&gt;=$E43,T$6&lt;=$F43,Budget!$M33&gt;0),$D43/Budget!$M33,0)))</f>
        <v>0</v>
      </c>
      <c r="U43" s="35">
        <f>IF(U$5="Actual",SUMIFS(Outflows!$L$7:$L$163,Outflows!$H$7:$H$163,$A43,Outflows!$M$7:$M$163,U$6),IF($A43="Sales VAT",SUM(U$8:U$12)*Inputs!$B$7/(1+Inputs!$B$7),IF(AND(U$6&gt;=$E43,U$6&lt;=$F43,Budget!$M33&gt;0),$D43/Budget!$M33,0)))</f>
        <v>0</v>
      </c>
      <c r="V43" s="35">
        <f>IF(V$5="Actual",SUMIFS(Outflows!$L$7:$L$163,Outflows!$H$7:$H$163,$A43,Outflows!$M$7:$M$163,V$6),IF($A43="Sales VAT",SUM(V$8:V$12)*Inputs!$B$7/(1+Inputs!$B$7),IF(AND(V$6&gt;=$E43,V$6&lt;=$F43,Budget!$M33&gt;0),$D43/Budget!$M33,0)))</f>
        <v>0</v>
      </c>
      <c r="W43" s="35">
        <f>IF(W$5="Actual",SUMIFS(Outflows!$L$7:$L$163,Outflows!$H$7:$H$163,$A43,Outflows!$M$7:$M$163,W$6),IF($A43="Sales VAT",SUM(W$8:W$12)*Inputs!$B$7/(1+Inputs!$B$7),IF(AND(W$6&gt;=$E43,W$6&lt;=$F43,Budget!$M33&gt;0),$D43/Budget!$M33,0)))</f>
        <v>0</v>
      </c>
      <c r="X43" s="35">
        <f>IF(X$5="Actual",SUMIFS(Outflows!$L$7:$L$163,Outflows!$H$7:$H$163,$A43,Outflows!$M$7:$M$163,X$6),IF($A43="Sales VAT",SUM(X$8:X$12)*Inputs!$B$7/(1+Inputs!$B$7),IF(AND(X$6&gt;=$E43,X$6&lt;=$F43,Budget!$M33&gt;0),$D43/Budget!$M33,0)))</f>
        <v>0</v>
      </c>
      <c r="Y43" s="35">
        <f>IF(Y$5="Actual",SUMIFS(Outflows!$L$7:$L$163,Outflows!$H$7:$H$163,$A43,Outflows!$M$7:$M$163,Y$6),IF($A43="Sales VAT",SUM(Y$8:Y$12)*Inputs!$B$7/(1+Inputs!$B$7),IF(AND(Y$6&gt;=$E43,Y$6&lt;=$F43,Budget!$M33&gt;0),$D43/Budget!$M33,0)))</f>
        <v>0</v>
      </c>
      <c r="Z43" s="35">
        <f>IF(Z$5="Actual",SUMIFS(Outflows!$L$7:$L$163,Outflows!$H$7:$H$163,$A43,Outflows!$M$7:$M$163,Z$6),IF($A43="Sales VAT",SUM(Z$8:Z$12)*Inputs!$B$7/(1+Inputs!$B$7),IF(AND(Z$6&gt;=$E43,Z$6&lt;=$F43,Budget!$M33&gt;0),$D43/Budget!$M33,0)))</f>
        <v>0</v>
      </c>
      <c r="AA43" s="35">
        <f>IF(AA$5="Actual",SUMIFS(Outflows!$L$7:$L$163,Outflows!$H$7:$H$163,$A43,Outflows!$M$7:$M$163,AA$6),IF($A43="Sales VAT",SUM(AA$8:AA$12)*Inputs!$B$7/(1+Inputs!$B$7),IF(AND(AA$6&gt;=$E43,AA$6&lt;=$F43,Budget!$M33&gt;0),$D43/Budget!$M33,0)))</f>
        <v>0</v>
      </c>
      <c r="AB43" s="35">
        <f>IF(AB$5="Actual",SUMIFS(Outflows!$L$7:$L$163,Outflows!$H$7:$H$163,$A43,Outflows!$M$7:$M$163,AB$6),IF($A43="Sales VAT",SUM(AB$8:AB$12)*Inputs!$B$7/(1+Inputs!$B$7),IF(AND(AB$6&gt;=$E43,AB$6&lt;=$F43,Budget!$M33&gt;0),$D43/Budget!$M33,0)))</f>
        <v>0</v>
      </c>
      <c r="AC43" s="35">
        <f>IF(AC$5="Actual",SUMIFS(Outflows!$L$7:$L$163,Outflows!$H$7:$H$163,$A43,Outflows!$M$7:$M$163,AC$6),IF($A43="Sales VAT",SUM(AC$8:AC$12)*Inputs!$B$7/(1+Inputs!$B$7),IF(AND(AC$6&gt;=$E43,AC$6&lt;=$F43,Budget!$M33&gt;0),$D43/Budget!$M33,0)))</f>
        <v>0</v>
      </c>
      <c r="AD43" s="35">
        <f>IF(AD$5="Actual",SUMIFS(Outflows!$L$7:$L$163,Outflows!$H$7:$H$163,$A43,Outflows!$M$7:$M$163,AD$6),IF($A43="Sales VAT",SUM(AD$8:AD$12)*Inputs!$B$7/(1+Inputs!$B$7),IF(AND(AD$6&gt;=$E43,AD$6&lt;=$F43,Budget!$M33&gt;0),$D43/Budget!$M33,0)))</f>
        <v>0</v>
      </c>
      <c r="AE43" s="35">
        <f>IF(AE$5="Actual",SUMIFS(Outflows!$L$7:$L$163,Outflows!$H$7:$H$163,$A43,Outflows!$M$7:$M$163,AE$6),IF($A43="Sales VAT",SUM(AE$8:AE$12)*Inputs!$B$7/(1+Inputs!$B$7),IF(AND(AE$6&gt;=$E43,AE$6&lt;=$F43,Budget!$M33&gt;0),$D43/Budget!$M33,0)))</f>
        <v>0</v>
      </c>
      <c r="AF43" s="35">
        <f>IF(AF$5="Actual",SUMIFS(Outflows!$L$7:$L$163,Outflows!$H$7:$H$163,$A43,Outflows!$M$7:$M$163,AF$6),IF($A43="Sales VAT",SUM(AF$8:AF$12)*Inputs!$B$7/(1+Inputs!$B$7),IF(AND(AF$6&gt;=$E43,AF$6&lt;=$F43,Budget!$M33&gt;0),$D43/Budget!$M33,0)))</f>
        <v>0</v>
      </c>
      <c r="AG43" s="35">
        <f>IF(AG$5="Actual",SUMIFS(Outflows!$L$7:$L$163,Outflows!$H$7:$H$163,$A43,Outflows!$M$7:$M$163,AG$6),IF($A43="Sales VAT",SUM(AG$8:AG$12)*Inputs!$B$7/(1+Inputs!$B$7),IF(AND(AG$6&gt;=$E43,AG$6&lt;=$F43,Budget!$M33&gt;0),$D43/Budget!$M33,0)))</f>
        <v>0</v>
      </c>
      <c r="AH43" s="35">
        <f>IF(AH$5="Actual",SUMIFS(Outflows!$L$7:$L$163,Outflows!$H$7:$H$163,$A43,Outflows!$M$7:$M$163,AH$6),IF($A43="Sales VAT",SUM(AH$8:AH$12)*Inputs!$B$7/(1+Inputs!$B$7),IF(AND(AH$6&gt;=$E43,AH$6&lt;=$F43,Budget!$M33&gt;0),$D43/Budget!$M33,0)))</f>
        <v>0</v>
      </c>
      <c r="AI43" s="35">
        <f>IF(AI$5="Actual",SUMIFS(Outflows!$L$7:$L$163,Outflows!$H$7:$H$163,$A43,Outflows!$M$7:$M$163,AI$6),IF($A43="Sales VAT",SUM(AI$8:AI$12)*Inputs!$B$7/(1+Inputs!$B$7),IF(AND(AI$6&gt;=$E43,AI$6&lt;=$F43,Budget!$M33&gt;0),$D43/Budget!$M33,0)))</f>
        <v>0</v>
      </c>
      <c r="AJ43" s="35">
        <f>IF(AJ$5="Actual",SUMIFS(Outflows!$L$7:$L$163,Outflows!$H$7:$H$163,$A43,Outflows!$M$7:$M$163,AJ$6),IF($A43="Sales VAT",SUM(AJ$8:AJ$12)*Inputs!$B$7/(1+Inputs!$B$7),IF(AND(AJ$6&gt;=$E43,AJ$6&lt;=$F43,Budget!$M33&gt;0),$D43/Budget!$M33,0)))</f>
        <v>0</v>
      </c>
      <c r="AK43" s="35">
        <f>IF(AK$5="Actual",SUMIFS(Outflows!$L$7:$L$163,Outflows!$H$7:$H$163,$A43,Outflows!$M$7:$M$163,AK$6),IF($A43="Sales VAT",SUM(AK$8:AK$12)*Inputs!$B$7/(1+Inputs!$B$7),IF(AND(AK$6&gt;=$E43,AK$6&lt;=$F43,Budget!$M33&gt;0),$D43/Budget!$M33,0)))</f>
        <v>0</v>
      </c>
      <c r="AL43" s="35">
        <f>IF(AL$5="Actual",SUMIFS(Outflows!$L$7:$L$163,Outflows!$H$7:$H$163,$A43,Outflows!$M$7:$M$163,AL$6),IF($A43="Sales VAT",SUM(AL$8:AL$12)*Inputs!$B$7/(1+Inputs!$B$7),IF(AND(AL$6&gt;=$E43,AL$6&lt;=$F43,Budget!$M33&gt;0),$D43/Budget!$M33,0)))</f>
        <v>0</v>
      </c>
      <c r="AM43" s="35">
        <f>IF(AM$5="Actual",SUMIFS(Outflows!$L$7:$L$163,Outflows!$H$7:$H$163,$A43,Outflows!$M$7:$M$163,AM$6),IF($A43="Sales VAT",SUM(AM$8:AM$12)*Inputs!$B$7/(1+Inputs!$B$7),IF(AND(AM$6&gt;=$E43,AM$6&lt;=$F43,Budget!$M33&gt;0),$D43/Budget!$M33,0)))</f>
        <v>0</v>
      </c>
      <c r="AN43" s="35">
        <f>IF(AN$5="Actual",SUMIFS(Outflows!$L$7:$L$163,Outflows!$H$7:$H$163,$A43,Outflows!$M$7:$M$163,AN$6),IF($A43="Sales VAT",SUM(AN$8:AN$12)*Inputs!$B$7/(1+Inputs!$B$7),IF(AND(AN$6&gt;=$E43,AN$6&lt;=$F43,Budget!$M33&gt;0),$D43/Budget!$M33,0)))</f>
        <v>0</v>
      </c>
      <c r="AO43" s="35">
        <f>IF(AO$5="Actual",SUMIFS(Outflows!$L$7:$L$163,Outflows!$H$7:$H$163,$A43,Outflows!$M$7:$M$163,AO$6),IF($A43="Sales VAT",SUM(AO$8:AO$12)*Inputs!$B$7/(1+Inputs!$B$7),IF(AND(AO$6&gt;=$E43,AO$6&lt;=$F43,Budget!$M33&gt;0),$D43/Budget!$M33,0)))</f>
        <v>0</v>
      </c>
      <c r="AP43" s="35">
        <f>IF(AP$5="Actual",SUMIFS(Outflows!$L$7:$L$163,Outflows!$H$7:$H$163,$A43,Outflows!$M$7:$M$163,AP$6),IF($A43="Sales VAT",SUM(AP$8:AP$12)*Inputs!$B$7/(1+Inputs!$B$7),IF(AND(AP$6&gt;=$E43,AP$6&lt;=$F43,Budget!$M33&gt;0),$D43/Budget!$M33,0)))</f>
        <v>0</v>
      </c>
      <c r="AQ43" s="35">
        <f>IF(AQ$5="Actual",SUMIFS(Outflows!$L$7:$L$163,Outflows!$H$7:$H$163,$A43,Outflows!$M$7:$M$163,AQ$6),IF($A43="Sales VAT",SUM(AQ$8:AQ$12)*Inputs!$B$7/(1+Inputs!$B$7),IF(AND(AQ$6&gt;=$E43,AQ$6&lt;=$F43,Budget!$M33&gt;0),$D43/Budget!$M33,0)))</f>
        <v>0</v>
      </c>
      <c r="AR43" s="35">
        <f>IF(AR$5="Actual",SUMIFS(Outflows!$L$7:$L$163,Outflows!$H$7:$H$163,$A43,Outflows!$M$7:$M$163,AR$6),IF($A43="Sales VAT",SUM(AR$8:AR$12)*Inputs!$B$7/(1+Inputs!$B$7),IF(AND(AR$6&gt;=$E43,AR$6&lt;=$F43,Budget!$M33&gt;0),$D43/Budget!$M33,0)))</f>
        <v>0</v>
      </c>
      <c r="AS43" s="35">
        <f>IF(AS$5="Actual",SUMIFS(Outflows!$L$7:$L$163,Outflows!$H$7:$H$163,$A43,Outflows!$M$7:$M$163,AS$6),IF($A43="Sales VAT",SUM(AS$8:AS$12)*Inputs!$B$7/(1+Inputs!$B$7),IF(AND(AS$6&gt;=$E43,AS$6&lt;=$F43,Budget!$M33&gt;0),$D43/Budget!$M33,0)))</f>
        <v>0</v>
      </c>
      <c r="AT43" s="35">
        <f>IF(AT$5="Actual",SUMIFS(Outflows!$L$7:$L$163,Outflows!$H$7:$H$163,$A43,Outflows!$M$7:$M$163,AT$6),IF($A43="Sales VAT",SUM(AT$8:AT$12)*Inputs!$B$7/(1+Inputs!$B$7),IF(AND(AT$6&gt;=$E43,AT$6&lt;=$F43,Budget!$M33&gt;0),$D43/Budget!$M33,0)))</f>
        <v>0</v>
      </c>
      <c r="AU43" s="35">
        <f>IF(AU$5="Actual",SUMIFS(Outflows!$L$7:$L$163,Outflows!$H$7:$H$163,$A43,Outflows!$M$7:$M$163,AU$6),IF($A43="Sales VAT",SUM(AU$8:AU$12)*Inputs!$B$7/(1+Inputs!$B$7),IF(AND(AU$6&gt;=$E43,AU$6&lt;=$F43,Budget!$M33&gt;0),$D43/Budget!$M33,0)))</f>
        <v>0</v>
      </c>
      <c r="AV43" s="35">
        <f>IF(AV$5="Actual",SUMIFS(Outflows!$L$7:$L$163,Outflows!$H$7:$H$163,$A43,Outflows!$M$7:$M$163,AV$6),IF($A43="Sales VAT",SUM(AV$8:AV$12)*Inputs!$B$7/(1+Inputs!$B$7),IF(AND(AV$6&gt;=$E43,AV$6&lt;=$F43,Budget!$M33&gt;0),$D43/Budget!$M33,0)))</f>
        <v>0</v>
      </c>
      <c r="AW43" s="35">
        <f>IF(AW$5="Actual",SUMIFS(Outflows!$L$7:$L$163,Outflows!$H$7:$H$163,$A43,Outflows!$M$7:$M$163,AW$6),IF($A43="Sales VAT",SUM(AW$8:AW$12)*Inputs!$B$7/(1+Inputs!$B$7),IF(AND(AW$6&gt;=$E43,AW$6&lt;=$F43,Budget!$M33&gt;0),$D43/Budget!$M33,0)))</f>
        <v>0</v>
      </c>
      <c r="AX43" s="35">
        <f>IF(AX$5="Actual",SUMIFS(Outflows!$L$7:$L$163,Outflows!$H$7:$H$163,$A43,Outflows!$M$7:$M$163,AX$6),IF($A43="Sales VAT",SUM(AX$8:AX$12)*Inputs!$B$7/(1+Inputs!$B$7),IF(AND(AX$6&gt;=$E43,AX$6&lt;=$F43,Budget!$M33&gt;0),$D43/Budget!$M33,0)))</f>
        <v>0</v>
      </c>
      <c r="AY43" s="35">
        <f>IF(AY$5="Actual",SUMIFS(Outflows!$L$7:$L$163,Outflows!$H$7:$H$163,$A43,Outflows!$M$7:$M$163,AY$6),IF($A43="Sales VAT",SUM(AY$8:AY$12)*Inputs!$B$7/(1+Inputs!$B$7),IF(AND(AY$6&gt;=$E43,AY$6&lt;=$F43,Budget!$M33&gt;0),$D43/Budget!$M33,0)))</f>
        <v>0</v>
      </c>
      <c r="AZ43" s="35">
        <f>IF(AZ$5="Actual",SUMIFS(Outflows!$L$7:$L$163,Outflows!$H$7:$H$163,$A43,Outflows!$M$7:$M$163,AZ$6),IF($A43="Sales VAT",SUM(AZ$8:AZ$12)*Inputs!$B$7/(1+Inputs!$B$7),IF(AND(AZ$6&gt;=$E43,AZ$6&lt;=$F43,Budget!$M33&gt;0),$D43/Budget!$M33,0)))</f>
        <v>0</v>
      </c>
      <c r="BA43" s="35">
        <f>IF(BA$5="Actual",SUMIFS(Outflows!$L$7:$L$163,Outflows!$H$7:$H$163,$A43,Outflows!$M$7:$M$163,BA$6),IF($A43="Sales VAT",SUM(BA$8:BA$12)*Inputs!$B$7/(1+Inputs!$B$7),IF(AND(BA$6&gt;=$E43,BA$6&lt;=$F43,Budget!$M33&gt;0),$D43/Budget!$M33,0)))</f>
        <v>280442.82634198957</v>
      </c>
    </row>
    <row r="44" spans="1:53">
      <c r="A44" s="6" t="str">
        <f>Budget!C34</f>
        <v>Sales VAT</v>
      </c>
      <c r="B44" s="35">
        <f>Budget!G34</f>
        <v>1233948.4359047541</v>
      </c>
      <c r="C44" s="35">
        <f>Budget!H34</f>
        <v>43907.050856459966</v>
      </c>
      <c r="D44" s="35">
        <f>Budget!I34</f>
        <v>1190041.3850482942</v>
      </c>
      <c r="E44" s="61">
        <f>Budget!K34</f>
        <v>45292</v>
      </c>
      <c r="F44" s="61">
        <f>Budget!L34</f>
        <v>45839</v>
      </c>
      <c r="G44" s="35">
        <f>IF(G$5="Actual",SUMIFS(Outflows!$L$7:$L$163,Outflows!$H$7:$H$163,$A44,Outflows!$M$7:$M$163,G$6),IF($A44="Sales VAT",SUM(G$8:G$12)*Inputs!$B$7/(1+Inputs!$B$7),IF(AND(G$6&gt;=$E44,G$6&lt;=$F44,Budget!$M34&gt;0),$D44/Budget!$M34,0)))</f>
        <v>0</v>
      </c>
      <c r="H44" s="35">
        <f>IF(H$5="Actual",SUMIFS(Outflows!$L$7:$L$163,Outflows!$H$7:$H$163,$A44,Outflows!$M$7:$M$163,H$6),IF($A44="Sales VAT",SUM(H$8:H$12)*Inputs!$B$7/(1+Inputs!$B$7),IF(AND(H$6&gt;=$E44,H$6&lt;=$F44,Budget!$M34&gt;0),$D44/Budget!$M34,0)))</f>
        <v>0</v>
      </c>
      <c r="I44" s="35">
        <f>IF(I$5="Actual",SUMIFS(Outflows!$L$7:$L$163,Outflows!$H$7:$H$163,$A44,Outflows!$M$7:$M$163,I$6),IF($A44="Sales VAT",SUM(I$8:I$12)*Inputs!$B$7/(1+Inputs!$B$7),IF(AND(I$6&gt;=$E44,I$6&lt;=$F44,Budget!$M34&gt;0),$D44/Budget!$M34,0)))</f>
        <v>0</v>
      </c>
      <c r="J44" s="35">
        <f>IF(J$5="Actual",SUMIFS(Outflows!$L$7:$L$163,Outflows!$H$7:$H$163,$A44,Outflows!$M$7:$M$163,J$6),IF($A44="Sales VAT",SUM(J$8:J$12)*Inputs!$B$7/(1+Inputs!$B$7),IF(AND(J$6&gt;=$E44,J$6&lt;=$F44,Budget!$M34&gt;0),$D44/Budget!$M34,0)))</f>
        <v>0</v>
      </c>
      <c r="K44" s="35">
        <f>IF(K$5="Actual",SUMIFS(Outflows!$L$7:$L$163,Outflows!$H$7:$H$163,$A44,Outflows!$M$7:$M$163,K$6),IF($A44="Sales VAT",SUM(K$8:K$12)*Inputs!$B$7/(1+Inputs!$B$7),IF(AND(K$6&gt;=$E44,K$6&lt;=$F44,Budget!$M34&gt;0),$D44/Budget!$M34,0)))</f>
        <v>0</v>
      </c>
      <c r="L44" s="35">
        <f>IF(L$5="Actual",SUMIFS(Outflows!$L$7:$L$163,Outflows!$H$7:$H$163,$A44,Outflows!$M$7:$M$163,L$6),IF($A44="Sales VAT",SUM(L$8:L$12)*Inputs!$B$7/(1+Inputs!$B$7),IF(AND(L$6&gt;=$E44,L$6&lt;=$F44,Budget!$M34&gt;0),$D44/Budget!$M34,0)))</f>
        <v>0</v>
      </c>
      <c r="M44" s="35">
        <f>IF(M$5="Actual",SUMIFS(Outflows!$L$7:$L$163,Outflows!$H$7:$H$163,$A44,Outflows!$M$7:$M$163,M$6),IF($A44="Sales VAT",SUM(M$8:M$12)*Inputs!$B$7/(1+Inputs!$B$7),IF(AND(M$6&gt;=$E44,M$6&lt;=$F44,Budget!$M34&gt;0),$D44/Budget!$M34,0)))</f>
        <v>0</v>
      </c>
      <c r="N44" s="35">
        <f>IF(N$5="Actual",SUMIFS(Outflows!$L$7:$L$163,Outflows!$H$7:$H$163,$A44,Outflows!$M$7:$M$163,N$6),IF($A44="Sales VAT",SUM(N$8:N$12)*Inputs!$B$7/(1+Inputs!$B$7),IF(AND(N$6&gt;=$E44,N$6&lt;=$F44,Budget!$M34&gt;0),$D44/Budget!$M34,0)))</f>
        <v>0</v>
      </c>
      <c r="O44" s="35">
        <f>IF(O$5="Actual",SUMIFS(Outflows!$L$7:$L$163,Outflows!$H$7:$H$163,$A44,Outflows!$M$7:$M$163,O$6),IF($A44="Sales VAT",SUM(O$8:O$12)*Inputs!$B$7/(1+Inputs!$B$7),IF(AND(O$6&gt;=$E44,O$6&lt;=$F44,Budget!$M34&gt;0),$D44/Budget!$M34,0)))</f>
        <v>0</v>
      </c>
      <c r="P44" s="35">
        <f>IF(P$5="Actual",SUMIFS(Outflows!$L$7:$L$163,Outflows!$H$7:$H$163,$A44,Outflows!$M$7:$M$163,P$6),IF($A44="Sales VAT",SUM(P$8:P$12)*Inputs!$B$7/(1+Inputs!$B$7),IF(AND(P$6&gt;=$E44,P$6&lt;=$F44,Budget!$M34&gt;0),$D44/Budget!$M34,0)))</f>
        <v>0</v>
      </c>
      <c r="Q44" s="35">
        <f>IF(Q$5="Actual",SUMIFS(Outflows!$L$7:$L$163,Outflows!$H$7:$H$163,$A44,Outflows!$M$7:$M$163,Q$6),IF($A44="Sales VAT",SUM(Q$8:Q$12)*Inputs!$B$7/(1+Inputs!$B$7),IF(AND(Q$6&gt;=$E44,Q$6&lt;=$F44,Budget!$M34&gt;0),$D44/Budget!$M34,0)))</f>
        <v>0</v>
      </c>
      <c r="R44" s="35">
        <f>IF(R$5="Actual",SUMIFS(Outflows!$L$7:$L$163,Outflows!$H$7:$H$163,$A44,Outflows!$M$7:$M$163,R$6),IF($A44="Sales VAT",SUM(R$8:R$12)*Inputs!$B$7/(1+Inputs!$B$7),IF(AND(R$6&gt;=$E44,R$6&lt;=$F44,Budget!$M34&gt;0),$D44/Budget!$M34,0)))</f>
        <v>0</v>
      </c>
      <c r="S44" s="35">
        <f>IF(S$5="Actual",SUMIFS(Outflows!$L$7:$L$163,Outflows!$H$7:$H$163,$A44,Outflows!$M$7:$M$163,S$6),IF($A44="Sales VAT",SUM(S$8:S$12)*Inputs!$B$7/(1+Inputs!$B$7),IF(AND(S$6&gt;=$E44,S$6&lt;=$F44,Budget!$M34&gt;0),$D44/Budget!$M34,0)))</f>
        <v>0</v>
      </c>
      <c r="T44" s="35">
        <f>IF(T$5="Actual",SUMIFS(Outflows!$L$7:$L$163,Outflows!$H$7:$H$163,$A44,Outflows!$M$7:$M$163,T$6),IF($A44="Sales VAT",SUM(T$8:T$12)*Inputs!$B$7/(1+Inputs!$B$7),IF(AND(T$6&gt;=$E44,T$6&lt;=$F44,Budget!$M34&gt;0),$D44/Budget!$M34,0)))</f>
        <v>43907.050856459966</v>
      </c>
      <c r="U44" s="35">
        <f>IF(U$5="Actual",SUMIFS(Outflows!$L$7:$L$163,Outflows!$H$7:$H$163,$A44,Outflows!$M$7:$M$163,U$6),IF($A44="Sales VAT",SUM(U$8:U$12)*Inputs!$B$7/(1+Inputs!$B$7),IF(AND(U$6&gt;=$E44,U$6&lt;=$F44,Budget!$M34&gt;0),$D44/Budget!$M34,0)))</f>
        <v>0</v>
      </c>
      <c r="V44" s="35">
        <f>IF(V$5="Actual",SUMIFS(Outflows!$L$7:$L$163,Outflows!$H$7:$H$163,$A44,Outflows!$M$7:$M$163,V$6),IF($A44="Sales VAT",SUM(V$8:V$12)*Inputs!$B$7/(1+Inputs!$B$7),IF(AND(V$6&gt;=$E44,V$6&lt;=$F44,Budget!$M34&gt;0),$D44/Budget!$M34,0)))</f>
        <v>0</v>
      </c>
      <c r="W44" s="35">
        <f>IF(W$5="Actual",SUMIFS(Outflows!$L$7:$L$163,Outflows!$H$7:$H$163,$A44,Outflows!$M$7:$M$163,W$6),IF($A44="Sales VAT",SUM(W$8:W$12)*Inputs!$B$7/(1+Inputs!$B$7),IF(AND(W$6&gt;=$E44,W$6&lt;=$F44,Budget!$M34&gt;0),$D44/Budget!$M34,0)))</f>
        <v>0</v>
      </c>
      <c r="X44" s="35">
        <f>IF(X$5="Actual",SUMIFS(Outflows!$L$7:$L$163,Outflows!$H$7:$H$163,$A44,Outflows!$M$7:$M$163,X$6),IF($A44="Sales VAT",SUM(X$8:X$12)*Inputs!$B$7/(1+Inputs!$B$7),IF(AND(X$6&gt;=$E44,X$6&lt;=$F44,Budget!$M34&gt;0),$D44/Budget!$M34,0)))</f>
        <v>0</v>
      </c>
      <c r="Y44" s="35">
        <f>IF(Y$5="Actual",SUMIFS(Outflows!$L$7:$L$163,Outflows!$H$7:$H$163,$A44,Outflows!$M$7:$M$163,Y$6),IF($A44="Sales VAT",SUM(Y$8:Y$12)*Inputs!$B$7/(1+Inputs!$B$7),IF(AND(Y$6&gt;=$E44,Y$6&lt;=$F44,Budget!$M34&gt;0),$D44/Budget!$M34,0)))</f>
        <v>0</v>
      </c>
      <c r="Z44" s="35">
        <f>IF(Z$5="Actual",SUMIFS(Outflows!$L$7:$L$163,Outflows!$H$7:$H$163,$A44,Outflows!$M$7:$M$163,Z$6),IF($A44="Sales VAT",SUM(Z$8:Z$12)*Inputs!$B$7/(1+Inputs!$B$7),IF(AND(Z$6&gt;=$E44,Z$6&lt;=$F44,Budget!$M34&gt;0),$D44/Budget!$M34,0)))</f>
        <v>0</v>
      </c>
      <c r="AA44" s="35">
        <f>IF(AA$5="Actual",SUMIFS(Outflows!$L$7:$L$163,Outflows!$H$7:$H$163,$A44,Outflows!$M$7:$M$163,AA$6),IF($A44="Sales VAT",SUM(AA$8:AA$12)*Inputs!$B$7/(1+Inputs!$B$7),IF(AND(AA$6&gt;=$E44,AA$6&lt;=$F44,Budget!$M34&gt;0),$D44/Budget!$M34,0)))</f>
        <v>0</v>
      </c>
      <c r="AB44" s="35">
        <f>IF(AB$5="Actual",SUMIFS(Outflows!$L$7:$L$163,Outflows!$H$7:$H$163,$A44,Outflows!$M$7:$M$163,AB$6),IF($A44="Sales VAT",SUM(AB$8:AB$12)*Inputs!$B$7/(1+Inputs!$B$7),IF(AND(AB$6&gt;=$E44,AB$6&lt;=$F44,Budget!$M34&gt;0),$D44/Budget!$M34,0)))</f>
        <v>0</v>
      </c>
      <c r="AC44" s="35">
        <f>IF(AC$5="Actual",SUMIFS(Outflows!$L$7:$L$163,Outflows!$H$7:$H$163,$A44,Outflows!$M$7:$M$163,AC$6),IF($A44="Sales VAT",SUM(AC$8:AC$12)*Inputs!$B$7/(1+Inputs!$B$7),IF(AND(AC$6&gt;=$E44,AC$6&lt;=$F44,Budget!$M34&gt;0),$D44/Budget!$M34,0)))</f>
        <v>0</v>
      </c>
      <c r="AD44" s="35">
        <f>IF(AD$5="Actual",SUMIFS(Outflows!$L$7:$L$163,Outflows!$H$7:$H$163,$A44,Outflows!$M$7:$M$163,AD$6),IF($A44="Sales VAT",SUM(AD$8:AD$12)*Inputs!$B$7/(1+Inputs!$B$7),IF(AND(AD$6&gt;=$E44,AD$6&lt;=$F44,Budget!$M34&gt;0),$D44/Budget!$M34,0)))</f>
        <v>345433.58536602074</v>
      </c>
      <c r="AE44" s="35">
        <f>IF(AE$5="Actual",SUMIFS(Outflows!$L$7:$L$163,Outflows!$H$7:$H$163,$A44,Outflows!$M$7:$M$163,AE$6),IF($A44="Sales VAT",SUM(AE$8:AE$12)*Inputs!$B$7/(1+Inputs!$B$7),IF(AND(AE$6&gt;=$E44,AE$6&lt;=$F44,Budget!$M34&gt;0),$D44/Budget!$M34,0)))</f>
        <v>0</v>
      </c>
      <c r="AF44" s="35">
        <f>IF(AF$5="Actual",SUMIFS(Outflows!$L$7:$L$163,Outflows!$H$7:$H$163,$A44,Outflows!$M$7:$M$163,AF$6),IF($A44="Sales VAT",SUM(AF$8:AF$12)*Inputs!$B$7/(1+Inputs!$B$7),IF(AND(AF$6&gt;=$E44,AF$6&lt;=$F44,Budget!$M34&gt;0),$D44/Budget!$M34,0)))</f>
        <v>0</v>
      </c>
      <c r="AG44" s="35">
        <f>IF(AG$5="Actual",SUMIFS(Outflows!$L$7:$L$163,Outflows!$H$7:$H$163,$A44,Outflows!$M$7:$M$163,AG$6),IF($A44="Sales VAT",SUM(AG$8:AG$12)*Inputs!$B$7/(1+Inputs!$B$7),IF(AND(AG$6&gt;=$E44,AG$6&lt;=$F44,Budget!$M34&gt;0),$D44/Budget!$M34,0)))</f>
        <v>0</v>
      </c>
      <c r="AH44" s="35">
        <f>IF(AH$5="Actual",SUMIFS(Outflows!$L$7:$L$163,Outflows!$H$7:$H$163,$A44,Outflows!$M$7:$M$163,AH$6),IF($A44="Sales VAT",SUM(AH$8:AH$12)*Inputs!$B$7/(1+Inputs!$B$7),IF(AND(AH$6&gt;=$E44,AH$6&lt;=$F44,Budget!$M34&gt;0),$D44/Budget!$M34,0)))</f>
        <v>0</v>
      </c>
      <c r="AI44" s="35">
        <f>IF(AI$5="Actual",SUMIFS(Outflows!$L$7:$L$163,Outflows!$H$7:$H$163,$A44,Outflows!$M$7:$M$163,AI$6),IF($A44="Sales VAT",SUM(AI$8:AI$12)*Inputs!$B$7/(1+Inputs!$B$7),IF(AND(AI$6&gt;=$E44,AI$6&lt;=$F44,Budget!$M34&gt;0),$D44/Budget!$M34,0)))</f>
        <v>0</v>
      </c>
      <c r="AJ44" s="35">
        <f>IF(AJ$5="Actual",SUMIFS(Outflows!$L$7:$L$163,Outflows!$H$7:$H$163,$A44,Outflows!$M$7:$M$163,AJ$6),IF($A44="Sales VAT",SUM(AJ$8:AJ$12)*Inputs!$B$7/(1+Inputs!$B$7),IF(AND(AJ$6&gt;=$E44,AJ$6&lt;=$F44,Budget!$M34&gt;0),$D44/Budget!$M34,0)))</f>
        <v>230289.05691068052</v>
      </c>
      <c r="AK44" s="35">
        <f>IF(AK$5="Actual",SUMIFS(Outflows!$L$7:$L$163,Outflows!$H$7:$H$163,$A44,Outflows!$M$7:$M$163,AK$6),IF($A44="Sales VAT",SUM(AK$8:AK$12)*Inputs!$B$7/(1+Inputs!$B$7),IF(AND(AK$6&gt;=$E44,AK$6&lt;=$F44,Budget!$M34&gt;0),$D44/Budget!$M34,0)))</f>
        <v>0</v>
      </c>
      <c r="AL44" s="35">
        <f>IF(AL$5="Actual",SUMIFS(Outflows!$L$7:$L$163,Outflows!$H$7:$H$163,$A44,Outflows!$M$7:$M$163,AL$6),IF($A44="Sales VAT",SUM(AL$8:AL$12)*Inputs!$B$7/(1+Inputs!$B$7),IF(AND(AL$6&gt;=$E44,AL$6&lt;=$F44,Budget!$M34&gt;0),$D44/Budget!$M34,0)))</f>
        <v>0</v>
      </c>
      <c r="AM44" s="35">
        <f>IF(AM$5="Actual",SUMIFS(Outflows!$L$7:$L$163,Outflows!$H$7:$H$163,$A44,Outflows!$M$7:$M$163,AM$6),IF($A44="Sales VAT",SUM(AM$8:AM$12)*Inputs!$B$7/(1+Inputs!$B$7),IF(AND(AM$6&gt;=$E44,AM$6&lt;=$F44,Budget!$M34&gt;0),$D44/Budget!$M34,0)))</f>
        <v>0</v>
      </c>
      <c r="AN44" s="35">
        <f>IF(AN$5="Actual",SUMIFS(Outflows!$L$7:$L$163,Outflows!$H$7:$H$163,$A44,Outflows!$M$7:$M$163,AN$6),IF($A44="Sales VAT",SUM(AN$8:AN$12)*Inputs!$B$7/(1+Inputs!$B$7),IF(AND(AN$6&gt;=$E44,AN$6&lt;=$F44,Budget!$M34&gt;0),$D44/Budget!$M34,0)))</f>
        <v>0</v>
      </c>
      <c r="AO44" s="35">
        <f>IF(AO$5="Actual",SUMIFS(Outflows!$L$7:$L$163,Outflows!$H$7:$H$163,$A44,Outflows!$M$7:$M$163,AO$6),IF($A44="Sales VAT",SUM(AO$8:AO$12)*Inputs!$B$7/(1+Inputs!$B$7),IF(AND(AO$6&gt;=$E44,AO$6&lt;=$F44,Budget!$M34&gt;0),$D44/Budget!$M34,0)))</f>
        <v>0</v>
      </c>
      <c r="AP44" s="35">
        <f>IF(AP$5="Actual",SUMIFS(Outflows!$L$7:$L$163,Outflows!$H$7:$H$163,$A44,Outflows!$M$7:$M$163,AP$6),IF($A44="Sales VAT",SUM(AP$8:AP$12)*Inputs!$B$7/(1+Inputs!$B$7),IF(AND(AP$6&gt;=$E44,AP$6&lt;=$F44,Budget!$M34&gt;0),$D44/Budget!$M34,0)))</f>
        <v>345433.58536602074</v>
      </c>
      <c r="AQ44" s="35">
        <f>IF(AQ$5="Actual",SUMIFS(Outflows!$L$7:$L$163,Outflows!$H$7:$H$163,$A44,Outflows!$M$7:$M$163,AQ$6),IF($A44="Sales VAT",SUM(AQ$8:AQ$12)*Inputs!$B$7/(1+Inputs!$B$7),IF(AND(AQ$6&gt;=$E44,AQ$6&lt;=$F44,Budget!$M34&gt;0),$D44/Budget!$M34,0)))</f>
        <v>0</v>
      </c>
      <c r="AR44" s="35">
        <f>IF(AR$5="Actual",SUMIFS(Outflows!$L$7:$L$163,Outflows!$H$7:$H$163,$A44,Outflows!$M$7:$M$163,AR$6),IF($A44="Sales VAT",SUM(AR$8:AR$12)*Inputs!$B$7/(1+Inputs!$B$7),IF(AND(AR$6&gt;=$E44,AR$6&lt;=$F44,Budget!$M34&gt;0),$D44/Budget!$M34,0)))</f>
        <v>0</v>
      </c>
      <c r="AS44" s="35">
        <f>IF(AS$5="Actual",SUMIFS(Outflows!$L$7:$L$163,Outflows!$H$7:$H$163,$A44,Outflows!$M$7:$M$163,AS$6),IF($A44="Sales VAT",SUM(AS$8:AS$12)*Inputs!$B$7/(1+Inputs!$B$7),IF(AND(AS$6&gt;=$E44,AS$6&lt;=$F44,Budget!$M34&gt;0),$D44/Budget!$M34,0)))</f>
        <v>0</v>
      </c>
      <c r="AT44" s="35">
        <f>IF(AT$5="Actual",SUMIFS(Outflows!$L$7:$L$163,Outflows!$H$7:$H$163,$A44,Outflows!$M$7:$M$163,AT$6),IF($A44="Sales VAT",SUM(AT$8:AT$12)*Inputs!$B$7/(1+Inputs!$B$7),IF(AND(AT$6&gt;=$E44,AT$6&lt;=$F44,Budget!$M34&gt;0),$D44/Budget!$M34,0)))</f>
        <v>0</v>
      </c>
      <c r="AU44" s="35">
        <f>IF(AU$5="Actual",SUMIFS(Outflows!$L$7:$L$163,Outflows!$H$7:$H$163,$A44,Outflows!$M$7:$M$163,AU$6),IF($A44="Sales VAT",SUM(AU$8:AU$12)*Inputs!$B$7/(1+Inputs!$B$7),IF(AND(AU$6&gt;=$E44,AU$6&lt;=$F44,Budget!$M34&gt;0),$D44/Budget!$M34,0)))</f>
        <v>0</v>
      </c>
      <c r="AV44" s="35">
        <f>IF(AV$5="Actual",SUMIFS(Outflows!$L$7:$L$163,Outflows!$H$7:$H$163,$A44,Outflows!$M$7:$M$163,AV$6),IF($A44="Sales VAT",SUM(AV$8:AV$12)*Inputs!$B$7/(1+Inputs!$B$7),IF(AND(AV$6&gt;=$E44,AV$6&lt;=$F44,Budget!$M34&gt;0),$D44/Budget!$M34,0)))</f>
        <v>230289.05691068052</v>
      </c>
      <c r="AW44" s="35">
        <f>IF(AW$5="Actual",SUMIFS(Outflows!$L$7:$L$163,Outflows!$H$7:$H$163,$A44,Outflows!$M$7:$M$163,AW$6),IF($A44="Sales VAT",SUM(AW$8:AW$12)*Inputs!$B$7/(1+Inputs!$B$7),IF(AND(AW$6&gt;=$E44,AW$6&lt;=$F44,Budget!$M34&gt;0),$D44/Budget!$M34,0)))</f>
        <v>0</v>
      </c>
      <c r="AX44" s="35">
        <f>IF(AX$5="Actual",SUMIFS(Outflows!$L$7:$L$163,Outflows!$H$7:$H$163,$A44,Outflows!$M$7:$M$163,AX$6),IF($A44="Sales VAT",SUM(AX$8:AX$12)*Inputs!$B$7/(1+Inputs!$B$7),IF(AND(AX$6&gt;=$E44,AX$6&lt;=$F44,Budget!$M34&gt;0),$D44/Budget!$M34,0)))</f>
        <v>0</v>
      </c>
      <c r="AY44" s="35">
        <f>IF(AY$5="Actual",SUMIFS(Outflows!$L$7:$L$163,Outflows!$H$7:$H$163,$A44,Outflows!$M$7:$M$163,AY$6),IF($A44="Sales VAT",SUM(AY$8:AY$12)*Inputs!$B$7/(1+Inputs!$B$7),IF(AND(AY$6&gt;=$E44,AY$6&lt;=$F44,Budget!$M34&gt;0),$D44/Budget!$M34,0)))</f>
        <v>0</v>
      </c>
      <c r="AZ44" s="35">
        <f>IF(AZ$5="Actual",SUMIFS(Outflows!$L$7:$L$163,Outflows!$H$7:$H$163,$A44,Outflows!$M$7:$M$163,AZ$6),IF($A44="Sales VAT",SUM(AZ$8:AZ$12)*Inputs!$B$7/(1+Inputs!$B$7),IF(AND(AZ$6&gt;=$E44,AZ$6&lt;=$F44,Budget!$M34&gt;0),$D44/Budget!$M34,0)))</f>
        <v>0</v>
      </c>
      <c r="BA44" s="35">
        <f>IF(BA$5="Actual",SUMIFS(Outflows!$L$7:$L$163,Outflows!$H$7:$H$163,$A44,Outflows!$M$7:$M$163,BA$6),IF($A44="Sales VAT",SUM(BA$8:BA$12)*Inputs!$B$7/(1+Inputs!$B$7),IF(AND(BA$6&gt;=$E44,BA$6&lt;=$F44,Budget!$M34&gt;0),$D44/Budget!$M34,0)))</f>
        <v>0</v>
      </c>
    </row>
    <row r="45" spans="1:53">
      <c r="A45" s="6" t="str">
        <f>Budget!C35</f>
        <v>Bank fees</v>
      </c>
      <c r="B45" s="35">
        <f>Budget!G35</f>
        <v>0</v>
      </c>
      <c r="C45" s="35">
        <f>Budget!H35</f>
        <v>0</v>
      </c>
      <c r="D45" s="35">
        <f>Budget!I35</f>
        <v>0</v>
      </c>
      <c r="E45" s="61">
        <f>Budget!K35</f>
        <v>45292</v>
      </c>
      <c r="F45" s="61">
        <f>Budget!L35</f>
        <v>45992</v>
      </c>
      <c r="G45" s="35">
        <f>IF(G$5="Actual",SUMIFS(Outflows!$L$7:$L$163,Outflows!$H$7:$H$163,$A45,Outflows!$M$7:$M$163,G$6),IF($A45="Sales VAT",SUM(G$8:G$12)*Inputs!$B$7/(1+Inputs!$B$7),IF(AND(G$6&gt;=$E45,G$6&lt;=$F45,Budget!$M35&gt;0),$D45/Budget!$M35,0)))</f>
        <v>0</v>
      </c>
      <c r="H45" s="35">
        <f>IF(H$5="Actual",SUMIFS(Outflows!$L$7:$L$163,Outflows!$H$7:$H$163,$A45,Outflows!$M$7:$M$163,H$6),IF($A45="Sales VAT",SUM(H$8:H$12)*Inputs!$B$7/(1+Inputs!$B$7),IF(AND(H$6&gt;=$E45,H$6&lt;=$F45,Budget!$M35&gt;0),$D45/Budget!$M35,0)))</f>
        <v>0</v>
      </c>
      <c r="I45" s="35">
        <f>IF(I$5="Actual",SUMIFS(Outflows!$L$7:$L$163,Outflows!$H$7:$H$163,$A45,Outflows!$M$7:$M$163,I$6),IF($A45="Sales VAT",SUM(I$8:I$12)*Inputs!$B$7/(1+Inputs!$B$7),IF(AND(I$6&gt;=$E45,I$6&lt;=$F45,Budget!$M35&gt;0),$D45/Budget!$M35,0)))</f>
        <v>0</v>
      </c>
      <c r="J45" s="35">
        <f>IF(J$5="Actual",SUMIFS(Outflows!$L$7:$L$163,Outflows!$H$7:$H$163,$A45,Outflows!$M$7:$M$163,J$6),IF($A45="Sales VAT",SUM(J$8:J$12)*Inputs!$B$7/(1+Inputs!$B$7),IF(AND(J$6&gt;=$E45,J$6&lt;=$F45,Budget!$M35&gt;0),$D45/Budget!$M35,0)))</f>
        <v>0</v>
      </c>
      <c r="K45" s="35">
        <f>IF(K$5="Actual",SUMIFS(Outflows!$L$7:$L$163,Outflows!$H$7:$H$163,$A45,Outflows!$M$7:$M$163,K$6),IF($A45="Sales VAT",SUM(K$8:K$12)*Inputs!$B$7/(1+Inputs!$B$7),IF(AND(K$6&gt;=$E45,K$6&lt;=$F45,Budget!$M35&gt;0),$D45/Budget!$M35,0)))</f>
        <v>0</v>
      </c>
      <c r="L45" s="35">
        <f>IF(L$5="Actual",SUMIFS(Outflows!$L$7:$L$163,Outflows!$H$7:$H$163,$A45,Outflows!$M$7:$M$163,L$6),IF($A45="Sales VAT",SUM(L$8:L$12)*Inputs!$B$7/(1+Inputs!$B$7),IF(AND(L$6&gt;=$E45,L$6&lt;=$F45,Budget!$M35&gt;0),$D45/Budget!$M35,0)))</f>
        <v>0</v>
      </c>
      <c r="M45" s="35">
        <f>IF(M$5="Actual",SUMIFS(Outflows!$L$7:$L$163,Outflows!$H$7:$H$163,$A45,Outflows!$M$7:$M$163,M$6),IF($A45="Sales VAT",SUM(M$8:M$12)*Inputs!$B$7/(1+Inputs!$B$7),IF(AND(M$6&gt;=$E45,M$6&lt;=$F45,Budget!$M35&gt;0),$D45/Budget!$M35,0)))</f>
        <v>0</v>
      </c>
      <c r="N45" s="35">
        <f>IF(N$5="Actual",SUMIFS(Outflows!$L$7:$L$163,Outflows!$H$7:$H$163,$A45,Outflows!$M$7:$M$163,N$6),IF($A45="Sales VAT",SUM(N$8:N$12)*Inputs!$B$7/(1+Inputs!$B$7),IF(AND(N$6&gt;=$E45,N$6&lt;=$F45,Budget!$M35&gt;0),$D45/Budget!$M35,0)))</f>
        <v>0</v>
      </c>
      <c r="O45" s="35">
        <f>IF(O$5="Actual",SUMIFS(Outflows!$L$7:$L$163,Outflows!$H$7:$H$163,$A45,Outflows!$M$7:$M$163,O$6),IF($A45="Sales VAT",SUM(O$8:O$12)*Inputs!$B$7/(1+Inputs!$B$7),IF(AND(O$6&gt;=$E45,O$6&lt;=$F45,Budget!$M35&gt;0),$D45/Budget!$M35,0)))</f>
        <v>0</v>
      </c>
      <c r="P45" s="35">
        <f>IF(P$5="Actual",SUMIFS(Outflows!$L$7:$L$163,Outflows!$H$7:$H$163,$A45,Outflows!$M$7:$M$163,P$6),IF($A45="Sales VAT",SUM(P$8:P$12)*Inputs!$B$7/(1+Inputs!$B$7),IF(AND(P$6&gt;=$E45,P$6&lt;=$F45,Budget!$M35&gt;0),$D45/Budget!$M35,0)))</f>
        <v>0</v>
      </c>
      <c r="Q45" s="35">
        <f>IF(Q$5="Actual",SUMIFS(Outflows!$L$7:$L$163,Outflows!$H$7:$H$163,$A45,Outflows!$M$7:$M$163,Q$6),IF($A45="Sales VAT",SUM(Q$8:Q$12)*Inputs!$B$7/(1+Inputs!$B$7),IF(AND(Q$6&gt;=$E45,Q$6&lt;=$F45,Budget!$M35&gt;0),$D45/Budget!$M35,0)))</f>
        <v>0</v>
      </c>
      <c r="R45" s="35">
        <f>IF(R$5="Actual",SUMIFS(Outflows!$L$7:$L$163,Outflows!$H$7:$H$163,$A45,Outflows!$M$7:$M$163,R$6),IF($A45="Sales VAT",SUM(R$8:R$12)*Inputs!$B$7/(1+Inputs!$B$7),IF(AND(R$6&gt;=$E45,R$6&lt;=$F45,Budget!$M35&gt;0),$D45/Budget!$M35,0)))</f>
        <v>0</v>
      </c>
      <c r="S45" s="35">
        <f>IF(S$5="Actual",SUMIFS(Outflows!$L$7:$L$163,Outflows!$H$7:$H$163,$A45,Outflows!$M$7:$M$163,S$6),IF($A45="Sales VAT",SUM(S$8:S$12)*Inputs!$B$7/(1+Inputs!$B$7),IF(AND(S$6&gt;=$E45,S$6&lt;=$F45,Budget!$M35&gt;0),$D45/Budget!$M35,0)))</f>
        <v>0</v>
      </c>
      <c r="T45" s="35">
        <f>IF(T$5="Actual",SUMIFS(Outflows!$L$7:$L$163,Outflows!$H$7:$H$163,$A45,Outflows!$M$7:$M$163,T$6),IF($A45="Sales VAT",SUM(T$8:T$12)*Inputs!$B$7/(1+Inputs!$B$7),IF(AND(T$6&gt;=$E45,T$6&lt;=$F45,Budget!$M35&gt;0),$D45/Budget!$M35,0)))</f>
        <v>0</v>
      </c>
      <c r="U45" s="35">
        <f>IF(U$5="Actual",SUMIFS(Outflows!$L$7:$L$163,Outflows!$H$7:$H$163,$A45,Outflows!$M$7:$M$163,U$6),IF($A45="Sales VAT",SUM(U$8:U$12)*Inputs!$B$7/(1+Inputs!$B$7),IF(AND(U$6&gt;=$E45,U$6&lt;=$F45,Budget!$M35&gt;0),$D45/Budget!$M35,0)))</f>
        <v>0</v>
      </c>
      <c r="V45" s="35">
        <f>IF(V$5="Actual",SUMIFS(Outflows!$L$7:$L$163,Outflows!$H$7:$H$163,$A45,Outflows!$M$7:$M$163,V$6),IF($A45="Sales VAT",SUM(V$8:V$12)*Inputs!$B$7/(1+Inputs!$B$7),IF(AND(V$6&gt;=$E45,V$6&lt;=$F45,Budget!$M35&gt;0),$D45/Budget!$M35,0)))</f>
        <v>0</v>
      </c>
      <c r="W45" s="35">
        <f>IF(W$5="Actual",SUMIFS(Outflows!$L$7:$L$163,Outflows!$H$7:$H$163,$A45,Outflows!$M$7:$M$163,W$6),IF($A45="Sales VAT",SUM(W$8:W$12)*Inputs!$B$7/(1+Inputs!$B$7),IF(AND(W$6&gt;=$E45,W$6&lt;=$F45,Budget!$M35&gt;0),$D45/Budget!$M35,0)))</f>
        <v>0</v>
      </c>
      <c r="X45" s="35">
        <f>IF(X$5="Actual",SUMIFS(Outflows!$L$7:$L$163,Outflows!$H$7:$H$163,$A45,Outflows!$M$7:$M$163,X$6),IF($A45="Sales VAT",SUM(X$8:X$12)*Inputs!$B$7/(1+Inputs!$B$7),IF(AND(X$6&gt;=$E45,X$6&lt;=$F45,Budget!$M35&gt;0),$D45/Budget!$M35,0)))</f>
        <v>0</v>
      </c>
      <c r="Y45" s="35">
        <f>IF(Y$5="Actual",SUMIFS(Outflows!$L$7:$L$163,Outflows!$H$7:$H$163,$A45,Outflows!$M$7:$M$163,Y$6),IF($A45="Sales VAT",SUM(Y$8:Y$12)*Inputs!$B$7/(1+Inputs!$B$7),IF(AND(Y$6&gt;=$E45,Y$6&lt;=$F45,Budget!$M35&gt;0),$D45/Budget!$M35,0)))</f>
        <v>0</v>
      </c>
      <c r="Z45" s="35">
        <f>IF(Z$5="Actual",SUMIFS(Outflows!$L$7:$L$163,Outflows!$H$7:$H$163,$A45,Outflows!$M$7:$M$163,Z$6),IF($A45="Sales VAT",SUM(Z$8:Z$12)*Inputs!$B$7/(1+Inputs!$B$7),IF(AND(Z$6&gt;=$E45,Z$6&lt;=$F45,Budget!$M35&gt;0),$D45/Budget!$M35,0)))</f>
        <v>0</v>
      </c>
      <c r="AA45" s="35">
        <f>IF(AA$5="Actual",SUMIFS(Outflows!$L$7:$L$163,Outflows!$H$7:$H$163,$A45,Outflows!$M$7:$M$163,AA$6),IF($A45="Sales VAT",SUM(AA$8:AA$12)*Inputs!$B$7/(1+Inputs!$B$7),IF(AND(AA$6&gt;=$E45,AA$6&lt;=$F45,Budget!$M35&gt;0),$D45/Budget!$M35,0)))</f>
        <v>0</v>
      </c>
      <c r="AB45" s="35">
        <f>IF(AB$5="Actual",SUMIFS(Outflows!$L$7:$L$163,Outflows!$H$7:$H$163,$A45,Outflows!$M$7:$M$163,AB$6),IF($A45="Sales VAT",SUM(AB$8:AB$12)*Inputs!$B$7/(1+Inputs!$B$7),IF(AND(AB$6&gt;=$E45,AB$6&lt;=$F45,Budget!$M35&gt;0),$D45/Budget!$M35,0)))</f>
        <v>0</v>
      </c>
      <c r="AC45" s="35">
        <f>IF(AC$5="Actual",SUMIFS(Outflows!$L$7:$L$163,Outflows!$H$7:$H$163,$A45,Outflows!$M$7:$M$163,AC$6),IF($A45="Sales VAT",SUM(AC$8:AC$12)*Inputs!$B$7/(1+Inputs!$B$7),IF(AND(AC$6&gt;=$E45,AC$6&lt;=$F45,Budget!$M35&gt;0),$D45/Budget!$M35,0)))</f>
        <v>0</v>
      </c>
      <c r="AD45" s="35">
        <f>IF(AD$5="Actual",SUMIFS(Outflows!$L$7:$L$163,Outflows!$H$7:$H$163,$A45,Outflows!$M$7:$M$163,AD$6),IF($A45="Sales VAT",SUM(AD$8:AD$12)*Inputs!$B$7/(1+Inputs!$B$7),IF(AND(AD$6&gt;=$E45,AD$6&lt;=$F45,Budget!$M35&gt;0),$D45/Budget!$M35,0)))</f>
        <v>0</v>
      </c>
      <c r="AE45" s="35">
        <f>IF(AE$5="Actual",SUMIFS(Outflows!$L$7:$L$163,Outflows!$H$7:$H$163,$A45,Outflows!$M$7:$M$163,AE$6),IF($A45="Sales VAT",SUM(AE$8:AE$12)*Inputs!$B$7/(1+Inputs!$B$7),IF(AND(AE$6&gt;=$E45,AE$6&lt;=$F45,Budget!$M35&gt;0),$D45/Budget!$M35,0)))</f>
        <v>0</v>
      </c>
      <c r="AF45" s="35">
        <f>IF(AF$5="Actual",SUMIFS(Outflows!$L$7:$L$163,Outflows!$H$7:$H$163,$A45,Outflows!$M$7:$M$163,AF$6),IF($A45="Sales VAT",SUM(AF$8:AF$12)*Inputs!$B$7/(1+Inputs!$B$7),IF(AND(AF$6&gt;=$E45,AF$6&lt;=$F45,Budget!$M35&gt;0),$D45/Budget!$M35,0)))</f>
        <v>0</v>
      </c>
      <c r="AG45" s="35">
        <f>IF(AG$5="Actual",SUMIFS(Outflows!$L$7:$L$163,Outflows!$H$7:$H$163,$A45,Outflows!$M$7:$M$163,AG$6),IF($A45="Sales VAT",SUM(AG$8:AG$12)*Inputs!$B$7/(1+Inputs!$B$7),IF(AND(AG$6&gt;=$E45,AG$6&lt;=$F45,Budget!$M35&gt;0),$D45/Budget!$M35,0)))</f>
        <v>0</v>
      </c>
      <c r="AH45" s="35">
        <f>IF(AH$5="Actual",SUMIFS(Outflows!$L$7:$L$163,Outflows!$H$7:$H$163,$A45,Outflows!$M$7:$M$163,AH$6),IF($A45="Sales VAT",SUM(AH$8:AH$12)*Inputs!$B$7/(1+Inputs!$B$7),IF(AND(AH$6&gt;=$E45,AH$6&lt;=$F45,Budget!$M35&gt;0),$D45/Budget!$M35,0)))</f>
        <v>0</v>
      </c>
      <c r="AI45" s="35">
        <f>IF(AI$5="Actual",SUMIFS(Outflows!$L$7:$L$163,Outflows!$H$7:$H$163,$A45,Outflows!$M$7:$M$163,AI$6),IF($A45="Sales VAT",SUM(AI$8:AI$12)*Inputs!$B$7/(1+Inputs!$B$7),IF(AND(AI$6&gt;=$E45,AI$6&lt;=$F45,Budget!$M35&gt;0),$D45/Budget!$M35,0)))</f>
        <v>0</v>
      </c>
      <c r="AJ45" s="35">
        <f>IF(AJ$5="Actual",SUMIFS(Outflows!$L$7:$L$163,Outflows!$H$7:$H$163,$A45,Outflows!$M$7:$M$163,AJ$6),IF($A45="Sales VAT",SUM(AJ$8:AJ$12)*Inputs!$B$7/(1+Inputs!$B$7),IF(AND(AJ$6&gt;=$E45,AJ$6&lt;=$F45,Budget!$M35&gt;0),$D45/Budget!$M35,0)))</f>
        <v>0</v>
      </c>
      <c r="AK45" s="35">
        <f>IF(AK$5="Actual",SUMIFS(Outflows!$L$7:$L$163,Outflows!$H$7:$H$163,$A45,Outflows!$M$7:$M$163,AK$6),IF($A45="Sales VAT",SUM(AK$8:AK$12)*Inputs!$B$7/(1+Inputs!$B$7),IF(AND(AK$6&gt;=$E45,AK$6&lt;=$F45,Budget!$M35&gt;0),$D45/Budget!$M35,0)))</f>
        <v>0</v>
      </c>
      <c r="AL45" s="35">
        <f>IF(AL$5="Actual",SUMIFS(Outflows!$L$7:$L$163,Outflows!$H$7:$H$163,$A45,Outflows!$M$7:$M$163,AL$6),IF($A45="Sales VAT",SUM(AL$8:AL$12)*Inputs!$B$7/(1+Inputs!$B$7),IF(AND(AL$6&gt;=$E45,AL$6&lt;=$F45,Budget!$M35&gt;0),$D45/Budget!$M35,0)))</f>
        <v>0</v>
      </c>
      <c r="AM45" s="35">
        <f>IF(AM$5="Actual",SUMIFS(Outflows!$L$7:$L$163,Outflows!$H$7:$H$163,$A45,Outflows!$M$7:$M$163,AM$6),IF($A45="Sales VAT",SUM(AM$8:AM$12)*Inputs!$B$7/(1+Inputs!$B$7),IF(AND(AM$6&gt;=$E45,AM$6&lt;=$F45,Budget!$M35&gt;0),$D45/Budget!$M35,0)))</f>
        <v>0</v>
      </c>
      <c r="AN45" s="35">
        <f>IF(AN$5="Actual",SUMIFS(Outflows!$L$7:$L$163,Outflows!$H$7:$H$163,$A45,Outflows!$M$7:$M$163,AN$6),IF($A45="Sales VAT",SUM(AN$8:AN$12)*Inputs!$B$7/(1+Inputs!$B$7),IF(AND(AN$6&gt;=$E45,AN$6&lt;=$F45,Budget!$M35&gt;0),$D45/Budget!$M35,0)))</f>
        <v>0</v>
      </c>
      <c r="AO45" s="35">
        <f>IF(AO$5="Actual",SUMIFS(Outflows!$L$7:$L$163,Outflows!$H$7:$H$163,$A45,Outflows!$M$7:$M$163,AO$6),IF($A45="Sales VAT",SUM(AO$8:AO$12)*Inputs!$B$7/(1+Inputs!$B$7),IF(AND(AO$6&gt;=$E45,AO$6&lt;=$F45,Budget!$M35&gt;0),$D45/Budget!$M35,0)))</f>
        <v>0</v>
      </c>
      <c r="AP45" s="35">
        <f>IF(AP$5="Actual",SUMIFS(Outflows!$L$7:$L$163,Outflows!$H$7:$H$163,$A45,Outflows!$M$7:$M$163,AP$6),IF($A45="Sales VAT",SUM(AP$8:AP$12)*Inputs!$B$7/(1+Inputs!$B$7),IF(AND(AP$6&gt;=$E45,AP$6&lt;=$F45,Budget!$M35&gt;0),$D45/Budget!$M35,0)))</f>
        <v>0</v>
      </c>
      <c r="AQ45" s="35">
        <f>IF(AQ$5="Actual",SUMIFS(Outflows!$L$7:$L$163,Outflows!$H$7:$H$163,$A45,Outflows!$M$7:$M$163,AQ$6),IF($A45="Sales VAT",SUM(AQ$8:AQ$12)*Inputs!$B$7/(1+Inputs!$B$7),IF(AND(AQ$6&gt;=$E45,AQ$6&lt;=$F45,Budget!$M35&gt;0),$D45/Budget!$M35,0)))</f>
        <v>0</v>
      </c>
      <c r="AR45" s="35">
        <f>IF(AR$5="Actual",SUMIFS(Outflows!$L$7:$L$163,Outflows!$H$7:$H$163,$A45,Outflows!$M$7:$M$163,AR$6),IF($A45="Sales VAT",SUM(AR$8:AR$12)*Inputs!$B$7/(1+Inputs!$B$7),IF(AND(AR$6&gt;=$E45,AR$6&lt;=$F45,Budget!$M35&gt;0),$D45/Budget!$M35,0)))</f>
        <v>0</v>
      </c>
      <c r="AS45" s="35">
        <f>IF(AS$5="Actual",SUMIFS(Outflows!$L$7:$L$163,Outflows!$H$7:$H$163,$A45,Outflows!$M$7:$M$163,AS$6),IF($A45="Sales VAT",SUM(AS$8:AS$12)*Inputs!$B$7/(1+Inputs!$B$7),IF(AND(AS$6&gt;=$E45,AS$6&lt;=$F45,Budget!$M35&gt;0),$D45/Budget!$M35,0)))</f>
        <v>0</v>
      </c>
      <c r="AT45" s="35">
        <f>IF(AT$5="Actual",SUMIFS(Outflows!$L$7:$L$163,Outflows!$H$7:$H$163,$A45,Outflows!$M$7:$M$163,AT$6),IF($A45="Sales VAT",SUM(AT$8:AT$12)*Inputs!$B$7/(1+Inputs!$B$7),IF(AND(AT$6&gt;=$E45,AT$6&lt;=$F45,Budget!$M35&gt;0),$D45/Budget!$M35,0)))</f>
        <v>0</v>
      </c>
      <c r="AU45" s="35">
        <f>IF(AU$5="Actual",SUMIFS(Outflows!$L$7:$L$163,Outflows!$H$7:$H$163,$A45,Outflows!$M$7:$M$163,AU$6),IF($A45="Sales VAT",SUM(AU$8:AU$12)*Inputs!$B$7/(1+Inputs!$B$7),IF(AND(AU$6&gt;=$E45,AU$6&lt;=$F45,Budget!$M35&gt;0),$D45/Budget!$M35,0)))</f>
        <v>0</v>
      </c>
      <c r="AV45" s="35">
        <f>IF(AV$5="Actual",SUMIFS(Outflows!$L$7:$L$163,Outflows!$H$7:$H$163,$A45,Outflows!$M$7:$M$163,AV$6),IF($A45="Sales VAT",SUM(AV$8:AV$12)*Inputs!$B$7/(1+Inputs!$B$7),IF(AND(AV$6&gt;=$E45,AV$6&lt;=$F45,Budget!$M35&gt;0),$D45/Budget!$M35,0)))</f>
        <v>0</v>
      </c>
      <c r="AW45" s="35">
        <f>IF(AW$5="Actual",SUMIFS(Outflows!$L$7:$L$163,Outflows!$H$7:$H$163,$A45,Outflows!$M$7:$M$163,AW$6),IF($A45="Sales VAT",SUM(AW$8:AW$12)*Inputs!$B$7/(1+Inputs!$B$7),IF(AND(AW$6&gt;=$E45,AW$6&lt;=$F45,Budget!$M35&gt;0),$D45/Budget!$M35,0)))</f>
        <v>0</v>
      </c>
      <c r="AX45" s="35">
        <f>IF(AX$5="Actual",SUMIFS(Outflows!$L$7:$L$163,Outflows!$H$7:$H$163,$A45,Outflows!$M$7:$M$163,AX$6),IF($A45="Sales VAT",SUM(AX$8:AX$12)*Inputs!$B$7/(1+Inputs!$B$7),IF(AND(AX$6&gt;=$E45,AX$6&lt;=$F45,Budget!$M35&gt;0),$D45/Budget!$M35,0)))</f>
        <v>0</v>
      </c>
      <c r="AY45" s="35">
        <f>IF(AY$5="Actual",SUMIFS(Outflows!$L$7:$L$163,Outflows!$H$7:$H$163,$A45,Outflows!$M$7:$M$163,AY$6),IF($A45="Sales VAT",SUM(AY$8:AY$12)*Inputs!$B$7/(1+Inputs!$B$7),IF(AND(AY$6&gt;=$E45,AY$6&lt;=$F45,Budget!$M35&gt;0),$D45/Budget!$M35,0)))</f>
        <v>0</v>
      </c>
      <c r="AZ45" s="35">
        <f>IF(AZ$5="Actual",SUMIFS(Outflows!$L$7:$L$163,Outflows!$H$7:$H$163,$A45,Outflows!$M$7:$M$163,AZ$6),IF($A45="Sales VAT",SUM(AZ$8:AZ$12)*Inputs!$B$7/(1+Inputs!$B$7),IF(AND(AZ$6&gt;=$E45,AZ$6&lt;=$F45,Budget!$M35&gt;0),$D45/Budget!$M35,0)))</f>
        <v>0</v>
      </c>
      <c r="BA45" s="35">
        <f>IF(BA$5="Actual",SUMIFS(Outflows!$L$7:$L$163,Outflows!$H$7:$H$163,$A45,Outflows!$M$7:$M$163,BA$6),IF($A45="Sales VAT",SUM(BA$8:BA$12)*Inputs!$B$7/(1+Inputs!$B$7),IF(AND(BA$6&gt;=$E45,BA$6&lt;=$F45,Budget!$M35&gt;0),$D45/Budget!$M35,0)))</f>
        <v>0</v>
      </c>
    </row>
    <row r="46" spans="1:53">
      <c r="A46" s="6" t="str">
        <f>Budget!C36</f>
        <v>Withholding tax</v>
      </c>
      <c r="B46" s="35">
        <f>Budget!G36</f>
        <v>0</v>
      </c>
      <c r="C46" s="35">
        <f>Budget!H36</f>
        <v>48.91227345216452</v>
      </c>
      <c r="D46" s="35">
        <f>Budget!I36</f>
        <v>0</v>
      </c>
      <c r="E46" s="61">
        <f>Budget!K36</f>
        <v>45292</v>
      </c>
      <c r="F46" s="61">
        <f>Budget!L36</f>
        <v>45992</v>
      </c>
      <c r="G46" s="35">
        <f>IF(G$5="Actual",SUMIFS(Outflows!$L$7:$L$163,Outflows!$H$7:$H$163,$A46,Outflows!$M$7:$M$163,G$6),IF($A46="Sales VAT",SUM(G$8:G$12)*Inputs!$B$7/(1+Inputs!$B$7),IF(AND(G$6&gt;=$E46,G$6&lt;=$F46,Budget!$M36&gt;0),$D46/Budget!$M36,0)))</f>
        <v>0</v>
      </c>
      <c r="H46" s="35">
        <f>IF(H$5="Actual",SUMIFS(Outflows!$L$7:$L$163,Outflows!$H$7:$H$163,$A46,Outflows!$M$7:$M$163,H$6),IF($A46="Sales VAT",SUM(H$8:H$12)*Inputs!$B$7/(1+Inputs!$B$7),IF(AND(H$6&gt;=$E46,H$6&lt;=$F46,Budget!$M36&gt;0),$D46/Budget!$M36,0)))</f>
        <v>0</v>
      </c>
      <c r="I46" s="35">
        <f>IF(I$5="Actual",SUMIFS(Outflows!$L$7:$L$163,Outflows!$H$7:$H$163,$A46,Outflows!$M$7:$M$163,I$6),IF($A46="Sales VAT",SUM(I$8:I$12)*Inputs!$B$7/(1+Inputs!$B$7),IF(AND(I$6&gt;=$E46,I$6&lt;=$F46,Budget!$M36&gt;0),$D46/Budget!$M36,0)))</f>
        <v>0</v>
      </c>
      <c r="J46" s="35">
        <f>IF(J$5="Actual",SUMIFS(Outflows!$L$7:$L$163,Outflows!$H$7:$H$163,$A46,Outflows!$M$7:$M$163,J$6),IF($A46="Sales VAT",SUM(J$8:J$12)*Inputs!$B$7/(1+Inputs!$B$7),IF(AND(J$6&gt;=$E46,J$6&lt;=$F46,Budget!$M36&gt;0),$D46/Budget!$M36,0)))</f>
        <v>0</v>
      </c>
      <c r="K46" s="35">
        <f>IF(K$5="Actual",SUMIFS(Outflows!$L$7:$L$163,Outflows!$H$7:$H$163,$A46,Outflows!$M$7:$M$163,K$6),IF($A46="Sales VAT",SUM(K$8:K$12)*Inputs!$B$7/(1+Inputs!$B$7),IF(AND(K$6&gt;=$E46,K$6&lt;=$F46,Budget!$M36&gt;0),$D46/Budget!$M36,0)))</f>
        <v>0</v>
      </c>
      <c r="L46" s="35">
        <f>IF(L$5="Actual",SUMIFS(Outflows!$L$7:$L$163,Outflows!$H$7:$H$163,$A46,Outflows!$M$7:$M$163,L$6),IF($A46="Sales VAT",SUM(L$8:L$12)*Inputs!$B$7/(1+Inputs!$B$7),IF(AND(L$6&gt;=$E46,L$6&lt;=$F46,Budget!$M36&gt;0),$D46/Budget!$M36,0)))</f>
        <v>0</v>
      </c>
      <c r="M46" s="35">
        <f>IF(M$5="Actual",SUMIFS(Outflows!$L$7:$L$163,Outflows!$H$7:$H$163,$A46,Outflows!$M$7:$M$163,M$6),IF($A46="Sales VAT",SUM(M$8:M$12)*Inputs!$B$7/(1+Inputs!$B$7),IF(AND(M$6&gt;=$E46,M$6&lt;=$F46,Budget!$M36&gt;0),$D46/Budget!$M36,0)))</f>
        <v>0</v>
      </c>
      <c r="N46" s="35">
        <f>IF(N$5="Actual",SUMIFS(Outflows!$L$7:$L$163,Outflows!$H$7:$H$163,$A46,Outflows!$M$7:$M$163,N$6),IF($A46="Sales VAT",SUM(N$8:N$12)*Inputs!$B$7/(1+Inputs!$B$7),IF(AND(N$6&gt;=$E46,N$6&lt;=$F46,Budget!$M36&gt;0),$D46/Budget!$M36,0)))</f>
        <v>0</v>
      </c>
      <c r="O46" s="35">
        <f>IF(O$5="Actual",SUMIFS(Outflows!$L$7:$L$163,Outflows!$H$7:$H$163,$A46,Outflows!$M$7:$M$163,O$6),IF($A46="Sales VAT",SUM(O$8:O$12)*Inputs!$B$7/(1+Inputs!$B$7),IF(AND(O$6&gt;=$E46,O$6&lt;=$F46,Budget!$M36&gt;0),$D46/Budget!$M36,0)))</f>
        <v>0</v>
      </c>
      <c r="P46" s="35">
        <f>IF(P$5="Actual",SUMIFS(Outflows!$L$7:$L$163,Outflows!$H$7:$H$163,$A46,Outflows!$M$7:$M$163,P$6),IF($A46="Sales VAT",SUM(P$8:P$12)*Inputs!$B$7/(1+Inputs!$B$7),IF(AND(P$6&gt;=$E46,P$6&lt;=$F46,Budget!$M36&gt;0),$D46/Budget!$M36,0)))</f>
        <v>0</v>
      </c>
      <c r="Q46" s="35">
        <f>IF(Q$5="Actual",SUMIFS(Outflows!$L$7:$L$163,Outflows!$H$7:$H$163,$A46,Outflows!$M$7:$M$163,Q$6),IF($A46="Sales VAT",SUM(Q$8:Q$12)*Inputs!$B$7/(1+Inputs!$B$7),IF(AND(Q$6&gt;=$E46,Q$6&lt;=$F46,Budget!$M36&gt;0),$D46/Budget!$M36,0)))</f>
        <v>2.3677452164515927E-2</v>
      </c>
      <c r="R46" s="35">
        <f>IF(R$5="Actual",SUMIFS(Outflows!$L$7:$L$163,Outflows!$H$7:$H$163,$A46,Outflows!$M$7:$M$163,R$6),IF($A46="Sales VAT",SUM(R$8:R$12)*Inputs!$B$7/(1+Inputs!$B$7),IF(AND(R$6&gt;=$E46,R$6&lt;=$F46,Budget!$M36&gt;0),$D46/Budget!$M36,0)))</f>
        <v>4.0199999999999996</v>
      </c>
      <c r="S46" s="35">
        <f>IF(S$5="Actual",SUMIFS(Outflows!$L$7:$L$163,Outflows!$H$7:$H$163,$A46,Outflows!$M$7:$M$163,S$6),IF($A46="Sales VAT",SUM(S$8:S$12)*Inputs!$B$7/(1+Inputs!$B$7),IF(AND(S$6&gt;=$E46,S$6&lt;=$F46,Budget!$M36&gt;0),$D46/Budget!$M36,0)))</f>
        <v>5.81</v>
      </c>
      <c r="T46" s="35">
        <f>IF(T$5="Actual",SUMIFS(Outflows!$L$7:$L$163,Outflows!$H$7:$H$163,$A46,Outflows!$M$7:$M$163,T$6),IF($A46="Sales VAT",SUM(T$8:T$12)*Inputs!$B$7/(1+Inputs!$B$7),IF(AND(T$6&gt;=$E46,T$6&lt;=$F46,Budget!$M36&gt;0),$D46/Budget!$M36,0)))</f>
        <v>0</v>
      </c>
      <c r="U46" s="35">
        <f>IF(U$5="Actual",SUMIFS(Outflows!$L$7:$L$163,Outflows!$H$7:$H$163,$A46,Outflows!$M$7:$M$163,U$6),IF($A46="Sales VAT",SUM(U$8:U$12)*Inputs!$B$7/(1+Inputs!$B$7),IF(AND(U$6&gt;=$E46,U$6&lt;=$F46,Budget!$M36&gt;0),$D46/Budget!$M36,0)))</f>
        <v>8.8699999999999992</v>
      </c>
      <c r="V46" s="35">
        <f>IF(V$5="Actual",SUMIFS(Outflows!$L$7:$L$163,Outflows!$H$7:$H$163,$A46,Outflows!$M$7:$M$163,V$6),IF($A46="Sales VAT",SUM(V$8:V$12)*Inputs!$B$7/(1+Inputs!$B$7),IF(AND(V$6&gt;=$E46,V$6&lt;=$F46,Budget!$M36&gt;0),$D46/Budget!$M36,0)))</f>
        <v>9.14</v>
      </c>
      <c r="W46" s="35">
        <f>IF(W$5="Actual",SUMIFS(Outflows!$L$7:$L$163,Outflows!$H$7:$H$163,$A46,Outflows!$M$7:$M$163,W$6),IF($A46="Sales VAT",SUM(W$8:W$12)*Inputs!$B$7/(1+Inputs!$B$7),IF(AND(W$6&gt;=$E46,W$6&lt;=$F46,Budget!$M36&gt;0),$D46/Budget!$M36,0)))</f>
        <v>1.7964766666666661</v>
      </c>
      <c r="X46" s="35">
        <f>IF(X$5="Actual",SUMIFS(Outflows!$L$7:$L$163,Outflows!$H$7:$H$163,$A46,Outflows!$M$7:$M$163,X$6),IF($A46="Sales VAT",SUM(X$8:X$12)*Inputs!$B$7/(1+Inputs!$B$7),IF(AND(X$6&gt;=$E46,X$6&lt;=$F46,Budget!$M36&gt;0),$D46/Budget!$M36,0)))</f>
        <v>7.1035853333333341</v>
      </c>
      <c r="Y46" s="35">
        <f>IF(Y$5="Actual",SUMIFS(Outflows!$L$7:$L$163,Outflows!$H$7:$H$163,$A46,Outflows!$M$7:$M$163,Y$6),IF($A46="Sales VAT",SUM(Y$8:Y$12)*Inputs!$B$7/(1+Inputs!$B$7),IF(AND(Y$6&gt;=$E46,Y$6&lt;=$F46,Budget!$M36&gt;0),$D46/Budget!$M36,0)))</f>
        <v>6.3295513333333338</v>
      </c>
      <c r="Z46" s="35">
        <f>IF(Z$5="Actual",SUMIFS(Outflows!$L$7:$L$163,Outflows!$H$7:$H$163,$A46,Outflows!$M$7:$M$163,Z$6),IF($A46="Sales VAT",SUM(Z$8:Z$12)*Inputs!$B$7/(1+Inputs!$B$7),IF(AND(Z$6&gt;=$E46,Z$6&lt;=$F46,Budget!$M36&gt;0),$D46/Budget!$M36,0)))</f>
        <v>5.78</v>
      </c>
      <c r="AA46" s="35">
        <f>IF(AA$5="Actual",SUMIFS(Outflows!$L$7:$L$163,Outflows!$H$7:$H$163,$A46,Outflows!$M$7:$M$163,AA$6),IF($A46="Sales VAT",SUM(AA$8:AA$12)*Inputs!$B$7/(1+Inputs!$B$7),IF(AND(AA$6&gt;=$E46,AA$6&lt;=$F46,Budget!$M36&gt;0),$D46/Budget!$M36,0)))</f>
        <v>3.8982666666666665E-2</v>
      </c>
      <c r="AB46" s="35">
        <f>IF(AB$5="Actual",SUMIFS(Outflows!$L$7:$L$163,Outflows!$H$7:$H$163,$A46,Outflows!$M$7:$M$163,AB$6),IF($A46="Sales VAT",SUM(AB$8:AB$12)*Inputs!$B$7/(1+Inputs!$B$7),IF(AND(AB$6&gt;=$E46,AB$6&lt;=$F46,Budget!$M36&gt;0),$D46/Budget!$M36,0)))</f>
        <v>0</v>
      </c>
      <c r="AC46" s="35">
        <f>IF(AC$5="Actual",SUMIFS(Outflows!$L$7:$L$163,Outflows!$H$7:$H$163,$A46,Outflows!$M$7:$M$163,AC$6),IF($A46="Sales VAT",SUM(AC$8:AC$12)*Inputs!$B$7/(1+Inputs!$B$7),IF(AND(AC$6&gt;=$E46,AC$6&lt;=$F46,Budget!$M36&gt;0),$D46/Budget!$M36,0)))</f>
        <v>0</v>
      </c>
      <c r="AD46" s="35">
        <f>IF(AD$5="Actual",SUMIFS(Outflows!$L$7:$L$163,Outflows!$H$7:$H$163,$A46,Outflows!$M$7:$M$163,AD$6),IF($A46="Sales VAT",SUM(AD$8:AD$12)*Inputs!$B$7/(1+Inputs!$B$7),IF(AND(AD$6&gt;=$E46,AD$6&lt;=$F46,Budget!$M36&gt;0),$D46/Budget!$M36,0)))</f>
        <v>0</v>
      </c>
      <c r="AE46" s="35">
        <f>IF(AE$5="Actual",SUMIFS(Outflows!$L$7:$L$163,Outflows!$H$7:$H$163,$A46,Outflows!$M$7:$M$163,AE$6),IF($A46="Sales VAT",SUM(AE$8:AE$12)*Inputs!$B$7/(1+Inputs!$B$7),IF(AND(AE$6&gt;=$E46,AE$6&lt;=$F46,Budget!$M36&gt;0),$D46/Budget!$M36,0)))</f>
        <v>0</v>
      </c>
      <c r="AF46" s="35">
        <f>IF(AF$5="Actual",SUMIFS(Outflows!$L$7:$L$163,Outflows!$H$7:$H$163,$A46,Outflows!$M$7:$M$163,AF$6),IF($A46="Sales VAT",SUM(AF$8:AF$12)*Inputs!$B$7/(1+Inputs!$B$7),IF(AND(AF$6&gt;=$E46,AF$6&lt;=$F46,Budget!$M36&gt;0),$D46/Budget!$M36,0)))</f>
        <v>0</v>
      </c>
      <c r="AG46" s="35">
        <f>IF(AG$5="Actual",SUMIFS(Outflows!$L$7:$L$163,Outflows!$H$7:$H$163,$A46,Outflows!$M$7:$M$163,AG$6),IF($A46="Sales VAT",SUM(AG$8:AG$12)*Inputs!$B$7/(1+Inputs!$B$7),IF(AND(AG$6&gt;=$E46,AG$6&lt;=$F46,Budget!$M36&gt;0),$D46/Budget!$M36,0)))</f>
        <v>0</v>
      </c>
      <c r="AH46" s="35">
        <f>IF(AH$5="Actual",SUMIFS(Outflows!$L$7:$L$163,Outflows!$H$7:$H$163,$A46,Outflows!$M$7:$M$163,AH$6),IF($A46="Sales VAT",SUM(AH$8:AH$12)*Inputs!$B$7/(1+Inputs!$B$7),IF(AND(AH$6&gt;=$E46,AH$6&lt;=$F46,Budget!$M36&gt;0),$D46/Budget!$M36,0)))</f>
        <v>0</v>
      </c>
      <c r="AI46" s="35">
        <f>IF(AI$5="Actual",SUMIFS(Outflows!$L$7:$L$163,Outflows!$H$7:$H$163,$A46,Outflows!$M$7:$M$163,AI$6),IF($A46="Sales VAT",SUM(AI$8:AI$12)*Inputs!$B$7/(1+Inputs!$B$7),IF(AND(AI$6&gt;=$E46,AI$6&lt;=$F46,Budget!$M36&gt;0),$D46/Budget!$M36,0)))</f>
        <v>0</v>
      </c>
      <c r="AJ46" s="35">
        <f>IF(AJ$5="Actual",SUMIFS(Outflows!$L$7:$L$163,Outflows!$H$7:$H$163,$A46,Outflows!$M$7:$M$163,AJ$6),IF($A46="Sales VAT",SUM(AJ$8:AJ$12)*Inputs!$B$7/(1+Inputs!$B$7),IF(AND(AJ$6&gt;=$E46,AJ$6&lt;=$F46,Budget!$M36&gt;0),$D46/Budget!$M36,0)))</f>
        <v>0</v>
      </c>
      <c r="AK46" s="35">
        <f>IF(AK$5="Actual",SUMIFS(Outflows!$L$7:$L$163,Outflows!$H$7:$H$163,$A46,Outflows!$M$7:$M$163,AK$6),IF($A46="Sales VAT",SUM(AK$8:AK$12)*Inputs!$B$7/(1+Inputs!$B$7),IF(AND(AK$6&gt;=$E46,AK$6&lt;=$F46,Budget!$M36&gt;0),$D46/Budget!$M36,0)))</f>
        <v>0</v>
      </c>
      <c r="AL46" s="35">
        <f>IF(AL$5="Actual",SUMIFS(Outflows!$L$7:$L$163,Outflows!$H$7:$H$163,$A46,Outflows!$M$7:$M$163,AL$6),IF($A46="Sales VAT",SUM(AL$8:AL$12)*Inputs!$B$7/(1+Inputs!$B$7),IF(AND(AL$6&gt;=$E46,AL$6&lt;=$F46,Budget!$M36&gt;0),$D46/Budget!$M36,0)))</f>
        <v>0</v>
      </c>
      <c r="AM46" s="35">
        <f>IF(AM$5="Actual",SUMIFS(Outflows!$L$7:$L$163,Outflows!$H$7:$H$163,$A46,Outflows!$M$7:$M$163,AM$6),IF($A46="Sales VAT",SUM(AM$8:AM$12)*Inputs!$B$7/(1+Inputs!$B$7),IF(AND(AM$6&gt;=$E46,AM$6&lt;=$F46,Budget!$M36&gt;0),$D46/Budget!$M36,0)))</f>
        <v>0</v>
      </c>
      <c r="AN46" s="35">
        <f>IF(AN$5="Actual",SUMIFS(Outflows!$L$7:$L$163,Outflows!$H$7:$H$163,$A46,Outflows!$M$7:$M$163,AN$6),IF($A46="Sales VAT",SUM(AN$8:AN$12)*Inputs!$B$7/(1+Inputs!$B$7),IF(AND(AN$6&gt;=$E46,AN$6&lt;=$F46,Budget!$M36&gt;0),$D46/Budget!$M36,0)))</f>
        <v>0</v>
      </c>
      <c r="AO46" s="35">
        <f>IF(AO$5="Actual",SUMIFS(Outflows!$L$7:$L$163,Outflows!$H$7:$H$163,$A46,Outflows!$M$7:$M$163,AO$6),IF($A46="Sales VAT",SUM(AO$8:AO$12)*Inputs!$B$7/(1+Inputs!$B$7),IF(AND(AO$6&gt;=$E46,AO$6&lt;=$F46,Budget!$M36&gt;0),$D46/Budget!$M36,0)))</f>
        <v>0</v>
      </c>
      <c r="AP46" s="35">
        <f>IF(AP$5="Actual",SUMIFS(Outflows!$L$7:$L$163,Outflows!$H$7:$H$163,$A46,Outflows!$M$7:$M$163,AP$6),IF($A46="Sales VAT",SUM(AP$8:AP$12)*Inputs!$B$7/(1+Inputs!$B$7),IF(AND(AP$6&gt;=$E46,AP$6&lt;=$F46,Budget!$M36&gt;0),$D46/Budget!$M36,0)))</f>
        <v>0</v>
      </c>
      <c r="AQ46" s="35">
        <f>IF(AQ$5="Actual",SUMIFS(Outflows!$L$7:$L$163,Outflows!$H$7:$H$163,$A46,Outflows!$M$7:$M$163,AQ$6),IF($A46="Sales VAT",SUM(AQ$8:AQ$12)*Inputs!$B$7/(1+Inputs!$B$7),IF(AND(AQ$6&gt;=$E46,AQ$6&lt;=$F46,Budget!$M36&gt;0),$D46/Budget!$M36,0)))</f>
        <v>0</v>
      </c>
      <c r="AR46" s="35">
        <f>IF(AR$5="Actual",SUMIFS(Outflows!$L$7:$L$163,Outflows!$H$7:$H$163,$A46,Outflows!$M$7:$M$163,AR$6),IF($A46="Sales VAT",SUM(AR$8:AR$12)*Inputs!$B$7/(1+Inputs!$B$7),IF(AND(AR$6&gt;=$E46,AR$6&lt;=$F46,Budget!$M36&gt;0),$D46/Budget!$M36,0)))</f>
        <v>0</v>
      </c>
      <c r="AS46" s="35">
        <f>IF(AS$5="Actual",SUMIFS(Outflows!$L$7:$L$163,Outflows!$H$7:$H$163,$A46,Outflows!$M$7:$M$163,AS$6),IF($A46="Sales VAT",SUM(AS$8:AS$12)*Inputs!$B$7/(1+Inputs!$B$7),IF(AND(AS$6&gt;=$E46,AS$6&lt;=$F46,Budget!$M36&gt;0),$D46/Budget!$M36,0)))</f>
        <v>0</v>
      </c>
      <c r="AT46" s="35">
        <f>IF(AT$5="Actual",SUMIFS(Outflows!$L$7:$L$163,Outflows!$H$7:$H$163,$A46,Outflows!$M$7:$M$163,AT$6),IF($A46="Sales VAT",SUM(AT$8:AT$12)*Inputs!$B$7/(1+Inputs!$B$7),IF(AND(AT$6&gt;=$E46,AT$6&lt;=$F46,Budget!$M36&gt;0),$D46/Budget!$M36,0)))</f>
        <v>0</v>
      </c>
      <c r="AU46" s="35">
        <f>IF(AU$5="Actual",SUMIFS(Outflows!$L$7:$L$163,Outflows!$H$7:$H$163,$A46,Outflows!$M$7:$M$163,AU$6),IF($A46="Sales VAT",SUM(AU$8:AU$12)*Inputs!$B$7/(1+Inputs!$B$7),IF(AND(AU$6&gt;=$E46,AU$6&lt;=$F46,Budget!$M36&gt;0),$D46/Budget!$M36,0)))</f>
        <v>0</v>
      </c>
      <c r="AV46" s="35">
        <f>IF(AV$5="Actual",SUMIFS(Outflows!$L$7:$L$163,Outflows!$H$7:$H$163,$A46,Outflows!$M$7:$M$163,AV$6),IF($A46="Sales VAT",SUM(AV$8:AV$12)*Inputs!$B$7/(1+Inputs!$B$7),IF(AND(AV$6&gt;=$E46,AV$6&lt;=$F46,Budget!$M36&gt;0),$D46/Budget!$M36,0)))</f>
        <v>0</v>
      </c>
      <c r="AW46" s="35">
        <f>IF(AW$5="Actual",SUMIFS(Outflows!$L$7:$L$163,Outflows!$H$7:$H$163,$A46,Outflows!$M$7:$M$163,AW$6),IF($A46="Sales VAT",SUM(AW$8:AW$12)*Inputs!$B$7/(1+Inputs!$B$7),IF(AND(AW$6&gt;=$E46,AW$6&lt;=$F46,Budget!$M36&gt;0),$D46/Budget!$M36,0)))</f>
        <v>0</v>
      </c>
      <c r="AX46" s="35">
        <f>IF(AX$5="Actual",SUMIFS(Outflows!$L$7:$L$163,Outflows!$H$7:$H$163,$A46,Outflows!$M$7:$M$163,AX$6),IF($A46="Sales VAT",SUM(AX$8:AX$12)*Inputs!$B$7/(1+Inputs!$B$7),IF(AND(AX$6&gt;=$E46,AX$6&lt;=$F46,Budget!$M36&gt;0),$D46/Budget!$M36,0)))</f>
        <v>0</v>
      </c>
      <c r="AY46" s="35">
        <f>IF(AY$5="Actual",SUMIFS(Outflows!$L$7:$L$163,Outflows!$H$7:$H$163,$A46,Outflows!$M$7:$M$163,AY$6),IF($A46="Sales VAT",SUM(AY$8:AY$12)*Inputs!$B$7/(1+Inputs!$B$7),IF(AND(AY$6&gt;=$E46,AY$6&lt;=$F46,Budget!$M36&gt;0),$D46/Budget!$M36,0)))</f>
        <v>0</v>
      </c>
      <c r="AZ46" s="35">
        <f>IF(AZ$5="Actual",SUMIFS(Outflows!$L$7:$L$163,Outflows!$H$7:$H$163,$A46,Outflows!$M$7:$M$163,AZ$6),IF($A46="Sales VAT",SUM(AZ$8:AZ$12)*Inputs!$B$7/(1+Inputs!$B$7),IF(AND(AZ$6&gt;=$E46,AZ$6&lt;=$F46,Budget!$M36&gt;0),$D46/Budget!$M36,0)))</f>
        <v>0</v>
      </c>
      <c r="BA46" s="35">
        <f>IF(BA$5="Actual",SUMIFS(Outflows!$L$7:$L$163,Outflows!$H$7:$H$163,$A46,Outflows!$M$7:$M$163,BA$6),IF($A46="Sales VAT",SUM(BA$8:BA$12)*Inputs!$B$7/(1+Inputs!$B$7),IF(AND(BA$6&gt;=$E46,BA$6&lt;=$F46,Budget!$M36&gt;0),$D46/Budget!$M36,0)))</f>
        <v>0</v>
      </c>
    </row>
    <row r="47" spans="1:53">
      <c r="A47" s="6" t="str">
        <f>Budget!C37</f>
        <v>Miscellaneous</v>
      </c>
      <c r="B47" s="35">
        <f>Budget!G37</f>
        <v>0</v>
      </c>
      <c r="C47" s="35">
        <f>Budget!H37</f>
        <v>628.81004052996593</v>
      </c>
      <c r="D47" s="35">
        <f>Budget!I37</f>
        <v>0</v>
      </c>
      <c r="E47" s="61">
        <f>Budget!K37</f>
        <v>45292</v>
      </c>
      <c r="F47" s="61">
        <f>Budget!L37</f>
        <v>45992</v>
      </c>
      <c r="G47" s="35">
        <f>IF(G$5="Actual",SUMIFS(Outflows!$L$7:$L$163,Outflows!$H$7:$H$163,$A47,Outflows!$M$7:$M$163,G$6),IF($A47="Sales VAT",SUM(G$8:G$12)*Inputs!$B$7/(1+Inputs!$B$7),IF(AND(G$6&gt;=$E47,G$6&lt;=$F47,Budget!$M37&gt;0),$D47/Budget!$M37,0)))</f>
        <v>0</v>
      </c>
      <c r="H47" s="35">
        <f>IF(H$5="Actual",SUMIFS(Outflows!$L$7:$L$163,Outflows!$H$7:$H$163,$A47,Outflows!$M$7:$M$163,H$6),IF($A47="Sales VAT",SUM(H$8:H$12)*Inputs!$B$7/(1+Inputs!$B$7),IF(AND(H$6&gt;=$E47,H$6&lt;=$F47,Budget!$M37&gt;0),$D47/Budget!$M37,0)))</f>
        <v>0</v>
      </c>
      <c r="I47" s="35">
        <f>IF(I$5="Actual",SUMIFS(Outflows!$L$7:$L$163,Outflows!$H$7:$H$163,$A47,Outflows!$M$7:$M$163,I$6),IF($A47="Sales VAT",SUM(I$8:I$12)*Inputs!$B$7/(1+Inputs!$B$7),IF(AND(I$6&gt;=$E47,I$6&lt;=$F47,Budget!$M37&gt;0),$D47/Budget!$M37,0)))</f>
        <v>0</v>
      </c>
      <c r="J47" s="35">
        <f>IF(J$5="Actual",SUMIFS(Outflows!$L$7:$L$163,Outflows!$H$7:$H$163,$A47,Outflows!$M$7:$M$163,J$6),IF($A47="Sales VAT",SUM(J$8:J$12)*Inputs!$B$7/(1+Inputs!$B$7),IF(AND(J$6&gt;=$E47,J$6&lt;=$F47,Budget!$M37&gt;0),$D47/Budget!$M37,0)))</f>
        <v>0</v>
      </c>
      <c r="K47" s="35">
        <f>IF(K$5="Actual",SUMIFS(Outflows!$L$7:$L$163,Outflows!$H$7:$H$163,$A47,Outflows!$M$7:$M$163,K$6),IF($A47="Sales VAT",SUM(K$8:K$12)*Inputs!$B$7/(1+Inputs!$B$7),IF(AND(K$6&gt;=$E47,K$6&lt;=$F47,Budget!$M37&gt;0),$D47/Budget!$M37,0)))</f>
        <v>0</v>
      </c>
      <c r="L47" s="35">
        <f>IF(L$5="Actual",SUMIFS(Outflows!$L$7:$L$163,Outflows!$H$7:$H$163,$A47,Outflows!$M$7:$M$163,L$6),IF($A47="Sales VAT",SUM(L$8:L$12)*Inputs!$B$7/(1+Inputs!$B$7),IF(AND(L$6&gt;=$E47,L$6&lt;=$F47,Budget!$M37&gt;0),$D47/Budget!$M37,0)))</f>
        <v>0</v>
      </c>
      <c r="M47" s="35">
        <f>IF(M$5="Actual",SUMIFS(Outflows!$L$7:$L$163,Outflows!$H$7:$H$163,$A47,Outflows!$M$7:$M$163,M$6),IF($A47="Sales VAT",SUM(M$8:M$12)*Inputs!$B$7/(1+Inputs!$B$7),IF(AND(M$6&gt;=$E47,M$6&lt;=$F47,Budget!$M37&gt;0),$D47/Budget!$M37,0)))</f>
        <v>0</v>
      </c>
      <c r="N47" s="35">
        <f>IF(N$5="Actual",SUMIFS(Outflows!$L$7:$L$163,Outflows!$H$7:$H$163,$A47,Outflows!$M$7:$M$163,N$6),IF($A47="Sales VAT",SUM(N$8:N$12)*Inputs!$B$7/(1+Inputs!$B$7),IF(AND(N$6&gt;=$E47,N$6&lt;=$F47,Budget!$M37&gt;0),$D47/Budget!$M37,0)))</f>
        <v>0</v>
      </c>
      <c r="O47" s="35">
        <f>IF(O$5="Actual",SUMIFS(Outflows!$L$7:$L$163,Outflows!$H$7:$H$163,$A47,Outflows!$M$7:$M$163,O$6),IF($A47="Sales VAT",SUM(O$8:O$12)*Inputs!$B$7/(1+Inputs!$B$7),IF(AND(O$6&gt;=$E47,O$6&lt;=$F47,Budget!$M37&gt;0),$D47/Budget!$M37,0)))</f>
        <v>0</v>
      </c>
      <c r="P47" s="35">
        <f>IF(P$5="Actual",SUMIFS(Outflows!$L$7:$L$163,Outflows!$H$7:$H$163,$A47,Outflows!$M$7:$M$163,P$6),IF($A47="Sales VAT",SUM(P$8:P$12)*Inputs!$B$7/(1+Inputs!$B$7),IF(AND(P$6&gt;=$E47,P$6&lt;=$F47,Budget!$M37&gt;0),$D47/Budget!$M37,0)))</f>
        <v>0</v>
      </c>
      <c r="Q47" s="35">
        <f>IF(Q$5="Actual",SUMIFS(Outflows!$L$7:$L$163,Outflows!$H$7:$H$163,$A47,Outflows!$M$7:$M$163,Q$6),IF($A47="Sales VAT",SUM(Q$8:Q$12)*Inputs!$B$7/(1+Inputs!$B$7),IF(AND(Q$6&gt;=$E47,Q$6&lt;=$F47,Budget!$M37&gt;0),$D47/Budget!$M37,0)))</f>
        <v>301.31587311677583</v>
      </c>
      <c r="R47" s="35">
        <f>IF(R$5="Actual",SUMIFS(Outflows!$L$7:$L$163,Outflows!$H$7:$H$163,$A47,Outflows!$M$7:$M$163,R$6),IF($A47="Sales VAT",SUM(R$8:R$12)*Inputs!$B$7/(1+Inputs!$B$7),IF(AND(R$6&gt;=$E47,R$6&lt;=$F47,Budget!$M37&gt;0),$D47/Budget!$M37,0)))</f>
        <v>43.720875892916744</v>
      </c>
      <c r="S47" s="35">
        <f>IF(S$5="Actual",SUMIFS(Outflows!$L$7:$L$163,Outflows!$H$7:$H$163,$A47,Outflows!$M$7:$M$163,S$6),IF($A47="Sales VAT",SUM(S$8:S$12)*Inputs!$B$7/(1+Inputs!$B$7),IF(AND(S$6&gt;=$E47,S$6&lt;=$F47,Budget!$M37&gt;0),$D47/Budget!$M37,0)))</f>
        <v>220.78152415870107</v>
      </c>
      <c r="T47" s="35">
        <f>IF(T$5="Actual",SUMIFS(Outflows!$L$7:$L$163,Outflows!$H$7:$H$163,$A47,Outflows!$M$7:$M$163,T$6),IF($A47="Sales VAT",SUM(T$8:T$12)*Inputs!$B$7/(1+Inputs!$B$7),IF(AND(T$6&gt;=$E47,T$6&lt;=$F47,Budget!$M37&gt;0),$D47/Budget!$M37,0)))</f>
        <v>6.991767361572168</v>
      </c>
      <c r="U47" s="35">
        <f>IF(U$5="Actual",SUMIFS(Outflows!$L$7:$L$163,Outflows!$H$7:$H$163,$A47,Outflows!$M$7:$M$163,U$6),IF($A47="Sales VAT",SUM(U$8:U$12)*Inputs!$B$7/(1+Inputs!$B$7),IF(AND(U$6&gt;=$E47,U$6&lt;=$F47,Budget!$M37&gt;0),$D47/Budget!$M37,0)))</f>
        <v>7</v>
      </c>
      <c r="V47" s="35">
        <f>IF(V$5="Actual",SUMIFS(Outflows!$L$7:$L$163,Outflows!$H$7:$H$163,$A47,Outflows!$M$7:$M$163,V$6),IF($A47="Sales VAT",SUM(V$8:V$12)*Inputs!$B$7/(1+Inputs!$B$7),IF(AND(V$6&gt;=$E47,V$6&lt;=$F47,Budget!$M37&gt;0),$D47/Budget!$M37,0)))</f>
        <v>7</v>
      </c>
      <c r="W47" s="35">
        <f>IF(W$5="Actual",SUMIFS(Outflows!$L$7:$L$163,Outflows!$H$7:$H$163,$A47,Outflows!$M$7:$M$163,W$6),IF($A47="Sales VAT",SUM(W$8:W$12)*Inputs!$B$7/(1+Inputs!$B$7),IF(AND(W$6&gt;=$E47,W$6&lt;=$F47,Budget!$M37&gt;0),$D47/Budget!$M37,0)))</f>
        <v>7</v>
      </c>
      <c r="X47" s="35">
        <f>IF(X$5="Actual",SUMIFS(Outflows!$L$7:$L$163,Outflows!$H$7:$H$163,$A47,Outflows!$M$7:$M$163,X$6),IF($A47="Sales VAT",SUM(X$8:X$12)*Inputs!$B$7/(1+Inputs!$B$7),IF(AND(X$6&gt;=$E47,X$6&lt;=$F47,Budget!$M37&gt;0),$D47/Budget!$M37,0)))</f>
        <v>7</v>
      </c>
      <c r="Y47" s="35">
        <f>IF(Y$5="Actual",SUMIFS(Outflows!$L$7:$L$163,Outflows!$H$7:$H$163,$A47,Outflows!$M$7:$M$163,Y$6),IF($A47="Sales VAT",SUM(Y$8:Y$12)*Inputs!$B$7/(1+Inputs!$B$7),IF(AND(Y$6&gt;=$E47,Y$6&lt;=$F47,Budget!$M37&gt;0),$D47/Budget!$M37,0)))</f>
        <v>7</v>
      </c>
      <c r="Z47" s="35">
        <f>IF(Z$5="Actual",SUMIFS(Outflows!$L$7:$L$163,Outflows!$H$7:$H$163,$A47,Outflows!$M$7:$M$163,Z$6),IF($A47="Sales VAT",SUM(Z$8:Z$12)*Inputs!$B$7/(1+Inputs!$B$7),IF(AND(Z$6&gt;=$E47,Z$6&lt;=$F47,Budget!$M37&gt;0),$D47/Budget!$M37,0)))</f>
        <v>7</v>
      </c>
      <c r="AA47" s="35">
        <f>IF(AA$5="Actual",SUMIFS(Outflows!$L$7:$L$163,Outflows!$H$7:$H$163,$A47,Outflows!$M$7:$M$163,AA$6),IF($A47="Sales VAT",SUM(AA$8:AA$12)*Inputs!$B$7/(1+Inputs!$B$7),IF(AND(AA$6&gt;=$E47,AA$6&lt;=$F47,Budget!$M37&gt;0),$D47/Budget!$M37,0)))</f>
        <v>7</v>
      </c>
      <c r="AB47" s="35">
        <f>IF(AB$5="Actual",SUMIFS(Outflows!$L$7:$L$163,Outflows!$H$7:$H$163,$A47,Outflows!$M$7:$M$163,AB$6),IF($A47="Sales VAT",SUM(AB$8:AB$12)*Inputs!$B$7/(1+Inputs!$B$7),IF(AND(AB$6&gt;=$E47,AB$6&lt;=$F47,Budget!$M37&gt;0),$D47/Budget!$M37,0)))</f>
        <v>7</v>
      </c>
      <c r="AC47" s="35">
        <f>IF(AC$5="Actual",SUMIFS(Outflows!$L$7:$L$163,Outflows!$H$7:$H$163,$A47,Outflows!$M$7:$M$163,AC$6),IF($A47="Sales VAT",SUM(AC$8:AC$12)*Inputs!$B$7/(1+Inputs!$B$7),IF(AND(AC$6&gt;=$E47,AC$6&lt;=$F47,Budget!$M37&gt;0),$D47/Budget!$M37,0)))</f>
        <v>0</v>
      </c>
      <c r="AD47" s="35">
        <f>IF(AD$5="Actual",SUMIFS(Outflows!$L$7:$L$163,Outflows!$H$7:$H$163,$A47,Outflows!$M$7:$M$163,AD$6),IF($A47="Sales VAT",SUM(AD$8:AD$12)*Inputs!$B$7/(1+Inputs!$B$7),IF(AND(AD$6&gt;=$E47,AD$6&lt;=$F47,Budget!$M37&gt;0),$D47/Budget!$M37,0)))</f>
        <v>0</v>
      </c>
      <c r="AE47" s="35">
        <f>IF(AE$5="Actual",SUMIFS(Outflows!$L$7:$L$163,Outflows!$H$7:$H$163,$A47,Outflows!$M$7:$M$163,AE$6),IF($A47="Sales VAT",SUM(AE$8:AE$12)*Inputs!$B$7/(1+Inputs!$B$7),IF(AND(AE$6&gt;=$E47,AE$6&lt;=$F47,Budget!$M37&gt;0),$D47/Budget!$M37,0)))</f>
        <v>0</v>
      </c>
      <c r="AF47" s="35">
        <f>IF(AF$5="Actual",SUMIFS(Outflows!$L$7:$L$163,Outflows!$H$7:$H$163,$A47,Outflows!$M$7:$M$163,AF$6),IF($A47="Sales VAT",SUM(AF$8:AF$12)*Inputs!$B$7/(1+Inputs!$B$7),IF(AND(AF$6&gt;=$E47,AF$6&lt;=$F47,Budget!$M37&gt;0),$D47/Budget!$M37,0)))</f>
        <v>0</v>
      </c>
      <c r="AG47" s="35">
        <f>IF(AG$5="Actual",SUMIFS(Outflows!$L$7:$L$163,Outflows!$H$7:$H$163,$A47,Outflows!$M$7:$M$163,AG$6),IF($A47="Sales VAT",SUM(AG$8:AG$12)*Inputs!$B$7/(1+Inputs!$B$7),IF(AND(AG$6&gt;=$E47,AG$6&lt;=$F47,Budget!$M37&gt;0),$D47/Budget!$M37,0)))</f>
        <v>0</v>
      </c>
      <c r="AH47" s="35">
        <f>IF(AH$5="Actual",SUMIFS(Outflows!$L$7:$L$163,Outflows!$H$7:$H$163,$A47,Outflows!$M$7:$M$163,AH$6),IF($A47="Sales VAT",SUM(AH$8:AH$12)*Inputs!$B$7/(1+Inputs!$B$7),IF(AND(AH$6&gt;=$E47,AH$6&lt;=$F47,Budget!$M37&gt;0),$D47/Budget!$M37,0)))</f>
        <v>0</v>
      </c>
      <c r="AI47" s="35">
        <f>IF(AI$5="Actual",SUMIFS(Outflows!$L$7:$L$163,Outflows!$H$7:$H$163,$A47,Outflows!$M$7:$M$163,AI$6),IF($A47="Sales VAT",SUM(AI$8:AI$12)*Inputs!$B$7/(1+Inputs!$B$7),IF(AND(AI$6&gt;=$E47,AI$6&lt;=$F47,Budget!$M37&gt;0),$D47/Budget!$M37,0)))</f>
        <v>0</v>
      </c>
      <c r="AJ47" s="35">
        <f>IF(AJ$5="Actual",SUMIFS(Outflows!$L$7:$L$163,Outflows!$H$7:$H$163,$A47,Outflows!$M$7:$M$163,AJ$6),IF($A47="Sales VAT",SUM(AJ$8:AJ$12)*Inputs!$B$7/(1+Inputs!$B$7),IF(AND(AJ$6&gt;=$E47,AJ$6&lt;=$F47,Budget!$M37&gt;0),$D47/Budget!$M37,0)))</f>
        <v>0</v>
      </c>
      <c r="AK47" s="35">
        <f>IF(AK$5="Actual",SUMIFS(Outflows!$L$7:$L$163,Outflows!$H$7:$H$163,$A47,Outflows!$M$7:$M$163,AK$6),IF($A47="Sales VAT",SUM(AK$8:AK$12)*Inputs!$B$7/(1+Inputs!$B$7),IF(AND(AK$6&gt;=$E47,AK$6&lt;=$F47,Budget!$M37&gt;0),$D47/Budget!$M37,0)))</f>
        <v>0</v>
      </c>
      <c r="AL47" s="35">
        <f>IF(AL$5="Actual",SUMIFS(Outflows!$L$7:$L$163,Outflows!$H$7:$H$163,$A47,Outflows!$M$7:$M$163,AL$6),IF($A47="Sales VAT",SUM(AL$8:AL$12)*Inputs!$B$7/(1+Inputs!$B$7),IF(AND(AL$6&gt;=$E47,AL$6&lt;=$F47,Budget!$M37&gt;0),$D47/Budget!$M37,0)))</f>
        <v>0</v>
      </c>
      <c r="AM47" s="35">
        <f>IF(AM$5="Actual",SUMIFS(Outflows!$L$7:$L$163,Outflows!$H$7:$H$163,$A47,Outflows!$M$7:$M$163,AM$6),IF($A47="Sales VAT",SUM(AM$8:AM$12)*Inputs!$B$7/(1+Inputs!$B$7),IF(AND(AM$6&gt;=$E47,AM$6&lt;=$F47,Budget!$M37&gt;0),$D47/Budget!$M37,0)))</f>
        <v>0</v>
      </c>
      <c r="AN47" s="35">
        <f>IF(AN$5="Actual",SUMIFS(Outflows!$L$7:$L$163,Outflows!$H$7:$H$163,$A47,Outflows!$M$7:$M$163,AN$6),IF($A47="Sales VAT",SUM(AN$8:AN$12)*Inputs!$B$7/(1+Inputs!$B$7),IF(AND(AN$6&gt;=$E47,AN$6&lt;=$F47,Budget!$M37&gt;0),$D47/Budget!$M37,0)))</f>
        <v>0</v>
      </c>
      <c r="AO47" s="35">
        <f>IF(AO$5="Actual",SUMIFS(Outflows!$L$7:$L$163,Outflows!$H$7:$H$163,$A47,Outflows!$M$7:$M$163,AO$6),IF($A47="Sales VAT",SUM(AO$8:AO$12)*Inputs!$B$7/(1+Inputs!$B$7),IF(AND(AO$6&gt;=$E47,AO$6&lt;=$F47,Budget!$M37&gt;0),$D47/Budget!$M37,0)))</f>
        <v>0</v>
      </c>
      <c r="AP47" s="35">
        <f>IF(AP$5="Actual",SUMIFS(Outflows!$L$7:$L$163,Outflows!$H$7:$H$163,$A47,Outflows!$M$7:$M$163,AP$6),IF($A47="Sales VAT",SUM(AP$8:AP$12)*Inputs!$B$7/(1+Inputs!$B$7),IF(AND(AP$6&gt;=$E47,AP$6&lt;=$F47,Budget!$M37&gt;0),$D47/Budget!$M37,0)))</f>
        <v>0</v>
      </c>
      <c r="AQ47" s="35">
        <f>IF(AQ$5="Actual",SUMIFS(Outflows!$L$7:$L$163,Outflows!$H$7:$H$163,$A47,Outflows!$M$7:$M$163,AQ$6),IF($A47="Sales VAT",SUM(AQ$8:AQ$12)*Inputs!$B$7/(1+Inputs!$B$7),IF(AND(AQ$6&gt;=$E47,AQ$6&lt;=$F47,Budget!$M37&gt;0),$D47/Budget!$M37,0)))</f>
        <v>0</v>
      </c>
      <c r="AR47" s="35">
        <f>IF(AR$5="Actual",SUMIFS(Outflows!$L$7:$L$163,Outflows!$H$7:$H$163,$A47,Outflows!$M$7:$M$163,AR$6),IF($A47="Sales VAT",SUM(AR$8:AR$12)*Inputs!$B$7/(1+Inputs!$B$7),IF(AND(AR$6&gt;=$E47,AR$6&lt;=$F47,Budget!$M37&gt;0),$D47/Budget!$M37,0)))</f>
        <v>0</v>
      </c>
      <c r="AS47" s="35">
        <f>IF(AS$5="Actual",SUMIFS(Outflows!$L$7:$L$163,Outflows!$H$7:$H$163,$A47,Outflows!$M$7:$M$163,AS$6),IF($A47="Sales VAT",SUM(AS$8:AS$12)*Inputs!$B$7/(1+Inputs!$B$7),IF(AND(AS$6&gt;=$E47,AS$6&lt;=$F47,Budget!$M37&gt;0),$D47/Budget!$M37,0)))</f>
        <v>0</v>
      </c>
      <c r="AT47" s="35">
        <f>IF(AT$5="Actual",SUMIFS(Outflows!$L$7:$L$163,Outflows!$H$7:$H$163,$A47,Outflows!$M$7:$M$163,AT$6),IF($A47="Sales VAT",SUM(AT$8:AT$12)*Inputs!$B$7/(1+Inputs!$B$7),IF(AND(AT$6&gt;=$E47,AT$6&lt;=$F47,Budget!$M37&gt;0),$D47/Budget!$M37,0)))</f>
        <v>0</v>
      </c>
      <c r="AU47" s="35">
        <f>IF(AU$5="Actual",SUMIFS(Outflows!$L$7:$L$163,Outflows!$H$7:$H$163,$A47,Outflows!$M$7:$M$163,AU$6),IF($A47="Sales VAT",SUM(AU$8:AU$12)*Inputs!$B$7/(1+Inputs!$B$7),IF(AND(AU$6&gt;=$E47,AU$6&lt;=$F47,Budget!$M37&gt;0),$D47/Budget!$M37,0)))</f>
        <v>0</v>
      </c>
      <c r="AV47" s="35">
        <f>IF(AV$5="Actual",SUMIFS(Outflows!$L$7:$L$163,Outflows!$H$7:$H$163,$A47,Outflows!$M$7:$M$163,AV$6),IF($A47="Sales VAT",SUM(AV$8:AV$12)*Inputs!$B$7/(1+Inputs!$B$7),IF(AND(AV$6&gt;=$E47,AV$6&lt;=$F47,Budget!$M37&gt;0),$D47/Budget!$M37,0)))</f>
        <v>0</v>
      </c>
      <c r="AW47" s="35">
        <f>IF(AW$5="Actual",SUMIFS(Outflows!$L$7:$L$163,Outflows!$H$7:$H$163,$A47,Outflows!$M$7:$M$163,AW$6),IF($A47="Sales VAT",SUM(AW$8:AW$12)*Inputs!$B$7/(1+Inputs!$B$7),IF(AND(AW$6&gt;=$E47,AW$6&lt;=$F47,Budget!$M37&gt;0),$D47/Budget!$M37,0)))</f>
        <v>0</v>
      </c>
      <c r="AX47" s="35">
        <f>IF(AX$5="Actual",SUMIFS(Outflows!$L$7:$L$163,Outflows!$H$7:$H$163,$A47,Outflows!$M$7:$M$163,AX$6),IF($A47="Sales VAT",SUM(AX$8:AX$12)*Inputs!$B$7/(1+Inputs!$B$7),IF(AND(AX$6&gt;=$E47,AX$6&lt;=$F47,Budget!$M37&gt;0),$D47/Budget!$M37,0)))</f>
        <v>0</v>
      </c>
      <c r="AY47" s="35">
        <f>IF(AY$5="Actual",SUMIFS(Outflows!$L$7:$L$163,Outflows!$H$7:$H$163,$A47,Outflows!$M$7:$M$163,AY$6),IF($A47="Sales VAT",SUM(AY$8:AY$12)*Inputs!$B$7/(1+Inputs!$B$7),IF(AND(AY$6&gt;=$E47,AY$6&lt;=$F47,Budget!$M37&gt;0),$D47/Budget!$M37,0)))</f>
        <v>0</v>
      </c>
      <c r="AZ47" s="35">
        <f>IF(AZ$5="Actual",SUMIFS(Outflows!$L$7:$L$163,Outflows!$H$7:$H$163,$A47,Outflows!$M$7:$M$163,AZ$6),IF($A47="Sales VAT",SUM(AZ$8:AZ$12)*Inputs!$B$7/(1+Inputs!$B$7),IF(AND(AZ$6&gt;=$E47,AZ$6&lt;=$F47,Budget!$M37&gt;0),$D47/Budget!$M37,0)))</f>
        <v>0</v>
      </c>
      <c r="BA47" s="35">
        <f>IF(BA$5="Actual",SUMIFS(Outflows!$L$7:$L$163,Outflows!$H$7:$H$163,$A47,Outflows!$M$7:$M$163,BA$6),IF($A47="Sales VAT",SUM(BA$8:BA$12)*Inputs!$B$7/(1+Inputs!$B$7),IF(AND(BA$6&gt;=$E47,BA$6&lt;=$F47,Budget!$M37&gt;0),$D47/Budget!$M37,0)))</f>
        <v>0</v>
      </c>
    </row>
    <row r="48" spans="1:53">
      <c r="A48" s="6" t="str">
        <f>Budget!C38</f>
        <v>Unmapped</v>
      </c>
      <c r="B48" s="35">
        <f>Budget!G38</f>
        <v>0</v>
      </c>
      <c r="C48" s="35">
        <f>Budget!H38</f>
        <v>0</v>
      </c>
      <c r="D48" s="35">
        <f>Budget!I38</f>
        <v>0</v>
      </c>
      <c r="E48" s="61">
        <f>Budget!K38</f>
        <v>45292</v>
      </c>
      <c r="F48" s="61">
        <f>Budget!L38</f>
        <v>45992</v>
      </c>
      <c r="G48" s="35">
        <f>IF(G$5="Actual",SUMIFS(Outflows!$L$7:$L$163,Outflows!$H$7:$H$163,$A48,Outflows!$M$7:$M$163,G$6),IF($A48="Sales VAT",SUM(G$8:G$12)*Inputs!$B$7/(1+Inputs!$B$7),IF(AND(G$6&gt;=$E48,G$6&lt;=$F48,Budget!$M38&gt;0),$D48/Budget!$M38,0)))</f>
        <v>0</v>
      </c>
      <c r="H48" s="35">
        <f>IF(H$5="Actual",SUMIFS(Outflows!$L$7:$L$163,Outflows!$H$7:$H$163,$A48,Outflows!$M$7:$M$163,H$6),IF($A48="Sales VAT",SUM(H$8:H$12)*Inputs!$B$7/(1+Inputs!$B$7),IF(AND(H$6&gt;=$E48,H$6&lt;=$F48,Budget!$M38&gt;0),$D48/Budget!$M38,0)))</f>
        <v>0</v>
      </c>
      <c r="I48" s="35">
        <f>IF(I$5="Actual",SUMIFS(Outflows!$L$7:$L$163,Outflows!$H$7:$H$163,$A48,Outflows!$M$7:$M$163,I$6),IF($A48="Sales VAT",SUM(I$8:I$12)*Inputs!$B$7/(1+Inputs!$B$7),IF(AND(I$6&gt;=$E48,I$6&lt;=$F48,Budget!$M38&gt;0),$D48/Budget!$M38,0)))</f>
        <v>0</v>
      </c>
      <c r="J48" s="35">
        <f>IF(J$5="Actual",SUMIFS(Outflows!$L$7:$L$163,Outflows!$H$7:$H$163,$A48,Outflows!$M$7:$M$163,J$6),IF($A48="Sales VAT",SUM(J$8:J$12)*Inputs!$B$7/(1+Inputs!$B$7),IF(AND(J$6&gt;=$E48,J$6&lt;=$F48,Budget!$M38&gt;0),$D48/Budget!$M38,0)))</f>
        <v>0</v>
      </c>
      <c r="K48" s="35">
        <f>IF(K$5="Actual",SUMIFS(Outflows!$L$7:$L$163,Outflows!$H$7:$H$163,$A48,Outflows!$M$7:$M$163,K$6),IF($A48="Sales VAT",SUM(K$8:K$12)*Inputs!$B$7/(1+Inputs!$B$7),IF(AND(K$6&gt;=$E48,K$6&lt;=$F48,Budget!$M38&gt;0),$D48/Budget!$M38,0)))</f>
        <v>0</v>
      </c>
      <c r="L48" s="35">
        <f>IF(L$5="Actual",SUMIFS(Outflows!$L$7:$L$163,Outflows!$H$7:$H$163,$A48,Outflows!$M$7:$M$163,L$6),IF($A48="Sales VAT",SUM(L$8:L$12)*Inputs!$B$7/(1+Inputs!$B$7),IF(AND(L$6&gt;=$E48,L$6&lt;=$F48,Budget!$M38&gt;0),$D48/Budget!$M38,0)))</f>
        <v>0</v>
      </c>
      <c r="M48" s="35">
        <f>IF(M$5="Actual",SUMIFS(Outflows!$L$7:$L$163,Outflows!$H$7:$H$163,$A48,Outflows!$M$7:$M$163,M$6),IF($A48="Sales VAT",SUM(M$8:M$12)*Inputs!$B$7/(1+Inputs!$B$7),IF(AND(M$6&gt;=$E48,M$6&lt;=$F48,Budget!$M38&gt;0),$D48/Budget!$M38,0)))</f>
        <v>0</v>
      </c>
      <c r="N48" s="35">
        <f>IF(N$5="Actual",SUMIFS(Outflows!$L$7:$L$163,Outflows!$H$7:$H$163,$A48,Outflows!$M$7:$M$163,N$6),IF($A48="Sales VAT",SUM(N$8:N$12)*Inputs!$B$7/(1+Inputs!$B$7),IF(AND(N$6&gt;=$E48,N$6&lt;=$F48,Budget!$M38&gt;0),$D48/Budget!$M38,0)))</f>
        <v>0</v>
      </c>
      <c r="O48" s="35">
        <f>IF(O$5="Actual",SUMIFS(Outflows!$L$7:$L$163,Outflows!$H$7:$H$163,$A48,Outflows!$M$7:$M$163,O$6),IF($A48="Sales VAT",SUM(O$8:O$12)*Inputs!$B$7/(1+Inputs!$B$7),IF(AND(O$6&gt;=$E48,O$6&lt;=$F48,Budget!$M38&gt;0),$D48/Budget!$M38,0)))</f>
        <v>0</v>
      </c>
      <c r="P48" s="35">
        <f>IF(P$5="Actual",SUMIFS(Outflows!$L$7:$L$163,Outflows!$H$7:$H$163,$A48,Outflows!$M$7:$M$163,P$6),IF($A48="Sales VAT",SUM(P$8:P$12)*Inputs!$B$7/(1+Inputs!$B$7),IF(AND(P$6&gt;=$E48,P$6&lt;=$F48,Budget!$M38&gt;0),$D48/Budget!$M38,0)))</f>
        <v>0</v>
      </c>
      <c r="Q48" s="35">
        <f>IF(Q$5="Actual",SUMIFS(Outflows!$L$7:$L$163,Outflows!$H$7:$H$163,$A48,Outflows!$M$7:$M$163,Q$6),IF($A48="Sales VAT",SUM(Q$8:Q$12)*Inputs!$B$7/(1+Inputs!$B$7),IF(AND(Q$6&gt;=$E48,Q$6&lt;=$F48,Budget!$M38&gt;0),$D48/Budget!$M38,0)))</f>
        <v>0</v>
      </c>
      <c r="R48" s="35">
        <f>IF(R$5="Actual",SUMIFS(Outflows!$L$7:$L$163,Outflows!$H$7:$H$163,$A48,Outflows!$M$7:$M$163,R$6),IF($A48="Sales VAT",SUM(R$8:R$12)*Inputs!$B$7/(1+Inputs!$B$7),IF(AND(R$6&gt;=$E48,R$6&lt;=$F48,Budget!$M38&gt;0),$D48/Budget!$M38,0)))</f>
        <v>0</v>
      </c>
      <c r="S48" s="35">
        <f>IF(S$5="Actual",SUMIFS(Outflows!$L$7:$L$163,Outflows!$H$7:$H$163,$A48,Outflows!$M$7:$M$163,S$6),IF($A48="Sales VAT",SUM(S$8:S$12)*Inputs!$B$7/(1+Inputs!$B$7),IF(AND(S$6&gt;=$E48,S$6&lt;=$F48,Budget!$M38&gt;0),$D48/Budget!$M38,0)))</f>
        <v>0</v>
      </c>
      <c r="T48" s="35">
        <f>IF(T$5="Actual",SUMIFS(Outflows!$L$7:$L$163,Outflows!$H$7:$H$163,$A48,Outflows!$M$7:$M$163,T$6),IF($A48="Sales VAT",SUM(T$8:T$12)*Inputs!$B$7/(1+Inputs!$B$7),IF(AND(T$6&gt;=$E48,T$6&lt;=$F48,Budget!$M38&gt;0),$D48/Budget!$M38,0)))</f>
        <v>0</v>
      </c>
      <c r="U48" s="35">
        <f>IF(U$5="Actual",SUMIFS(Outflows!$L$7:$L$163,Outflows!$H$7:$H$163,$A48,Outflows!$M$7:$M$163,U$6),IF($A48="Sales VAT",SUM(U$8:U$12)*Inputs!$B$7/(1+Inputs!$B$7),IF(AND(U$6&gt;=$E48,U$6&lt;=$F48,Budget!$M38&gt;0),$D48/Budget!$M38,0)))</f>
        <v>0</v>
      </c>
      <c r="V48" s="35">
        <f>IF(V$5="Actual",SUMIFS(Outflows!$L$7:$L$163,Outflows!$H$7:$H$163,$A48,Outflows!$M$7:$M$163,V$6),IF($A48="Sales VAT",SUM(V$8:V$12)*Inputs!$B$7/(1+Inputs!$B$7),IF(AND(V$6&gt;=$E48,V$6&lt;=$F48,Budget!$M38&gt;0),$D48/Budget!$M38,0)))</f>
        <v>0</v>
      </c>
      <c r="W48" s="35">
        <f>IF(W$5="Actual",SUMIFS(Outflows!$L$7:$L$163,Outflows!$H$7:$H$163,$A48,Outflows!$M$7:$M$163,W$6),IF($A48="Sales VAT",SUM(W$8:W$12)*Inputs!$B$7/(1+Inputs!$B$7),IF(AND(W$6&gt;=$E48,W$6&lt;=$F48,Budget!$M38&gt;0),$D48/Budget!$M38,0)))</f>
        <v>0</v>
      </c>
      <c r="X48" s="35">
        <f>IF(X$5="Actual",SUMIFS(Outflows!$L$7:$L$163,Outflows!$H$7:$H$163,$A48,Outflows!$M$7:$M$163,X$6),IF($A48="Sales VAT",SUM(X$8:X$12)*Inputs!$B$7/(1+Inputs!$B$7),IF(AND(X$6&gt;=$E48,X$6&lt;=$F48,Budget!$M38&gt;0),$D48/Budget!$M38,0)))</f>
        <v>0</v>
      </c>
      <c r="Y48" s="35">
        <f>IF(Y$5="Actual",SUMIFS(Outflows!$L$7:$L$163,Outflows!$H$7:$H$163,$A48,Outflows!$M$7:$M$163,Y$6),IF($A48="Sales VAT",SUM(Y$8:Y$12)*Inputs!$B$7/(1+Inputs!$B$7),IF(AND(Y$6&gt;=$E48,Y$6&lt;=$F48,Budget!$M38&gt;0),$D48/Budget!$M38,0)))</f>
        <v>0</v>
      </c>
      <c r="Z48" s="35">
        <f>IF(Z$5="Actual",SUMIFS(Outflows!$L$7:$L$163,Outflows!$H$7:$H$163,$A48,Outflows!$M$7:$M$163,Z$6),IF($A48="Sales VAT",SUM(Z$8:Z$12)*Inputs!$B$7/(1+Inputs!$B$7),IF(AND(Z$6&gt;=$E48,Z$6&lt;=$F48,Budget!$M38&gt;0),$D48/Budget!$M38,0)))</f>
        <v>0</v>
      </c>
      <c r="AA48" s="35">
        <f>IF(AA$5="Actual",SUMIFS(Outflows!$L$7:$L$163,Outflows!$H$7:$H$163,$A48,Outflows!$M$7:$M$163,AA$6),IF($A48="Sales VAT",SUM(AA$8:AA$12)*Inputs!$B$7/(1+Inputs!$B$7),IF(AND(AA$6&gt;=$E48,AA$6&lt;=$F48,Budget!$M38&gt;0),$D48/Budget!$M38,0)))</f>
        <v>0</v>
      </c>
      <c r="AB48" s="35">
        <f>IF(AB$5="Actual",SUMIFS(Outflows!$L$7:$L$163,Outflows!$H$7:$H$163,$A48,Outflows!$M$7:$M$163,AB$6),IF($A48="Sales VAT",SUM(AB$8:AB$12)*Inputs!$B$7/(1+Inputs!$B$7),IF(AND(AB$6&gt;=$E48,AB$6&lt;=$F48,Budget!$M38&gt;0),$D48/Budget!$M38,0)))</f>
        <v>0</v>
      </c>
      <c r="AC48" s="35">
        <f>IF(AC$5="Actual",SUMIFS(Outflows!$L$7:$L$163,Outflows!$H$7:$H$163,$A48,Outflows!$M$7:$M$163,AC$6),IF($A48="Sales VAT",SUM(AC$8:AC$12)*Inputs!$B$7/(1+Inputs!$B$7),IF(AND(AC$6&gt;=$E48,AC$6&lt;=$F48,Budget!$M38&gt;0),$D48/Budget!$M38,0)))</f>
        <v>0</v>
      </c>
      <c r="AD48" s="35">
        <f>IF(AD$5="Actual",SUMIFS(Outflows!$L$7:$L$163,Outflows!$H$7:$H$163,$A48,Outflows!$M$7:$M$163,AD$6),IF($A48="Sales VAT",SUM(AD$8:AD$12)*Inputs!$B$7/(1+Inputs!$B$7),IF(AND(AD$6&gt;=$E48,AD$6&lt;=$F48,Budget!$M38&gt;0),$D48/Budget!$M38,0)))</f>
        <v>0</v>
      </c>
      <c r="AE48" s="35">
        <f>IF(AE$5="Actual",SUMIFS(Outflows!$L$7:$L$163,Outflows!$H$7:$H$163,$A48,Outflows!$M$7:$M$163,AE$6),IF($A48="Sales VAT",SUM(AE$8:AE$12)*Inputs!$B$7/(1+Inputs!$B$7),IF(AND(AE$6&gt;=$E48,AE$6&lt;=$F48,Budget!$M38&gt;0),$D48/Budget!$M38,0)))</f>
        <v>0</v>
      </c>
      <c r="AF48" s="35">
        <f>IF(AF$5="Actual",SUMIFS(Outflows!$L$7:$L$163,Outflows!$H$7:$H$163,$A48,Outflows!$M$7:$M$163,AF$6),IF($A48="Sales VAT",SUM(AF$8:AF$12)*Inputs!$B$7/(1+Inputs!$B$7),IF(AND(AF$6&gt;=$E48,AF$6&lt;=$F48,Budget!$M38&gt;0),$D48/Budget!$M38,0)))</f>
        <v>0</v>
      </c>
      <c r="AG48" s="35">
        <f>IF(AG$5="Actual",SUMIFS(Outflows!$L$7:$L$163,Outflows!$H$7:$H$163,$A48,Outflows!$M$7:$M$163,AG$6),IF($A48="Sales VAT",SUM(AG$8:AG$12)*Inputs!$B$7/(1+Inputs!$B$7),IF(AND(AG$6&gt;=$E48,AG$6&lt;=$F48,Budget!$M38&gt;0),$D48/Budget!$M38,0)))</f>
        <v>0</v>
      </c>
      <c r="AH48" s="35">
        <f>IF(AH$5="Actual",SUMIFS(Outflows!$L$7:$L$163,Outflows!$H$7:$H$163,$A48,Outflows!$M$7:$M$163,AH$6),IF($A48="Sales VAT",SUM(AH$8:AH$12)*Inputs!$B$7/(1+Inputs!$B$7),IF(AND(AH$6&gt;=$E48,AH$6&lt;=$F48,Budget!$M38&gt;0),$D48/Budget!$M38,0)))</f>
        <v>0</v>
      </c>
      <c r="AI48" s="35">
        <f>IF(AI$5="Actual",SUMIFS(Outflows!$L$7:$L$163,Outflows!$H$7:$H$163,$A48,Outflows!$M$7:$M$163,AI$6),IF($A48="Sales VAT",SUM(AI$8:AI$12)*Inputs!$B$7/(1+Inputs!$B$7),IF(AND(AI$6&gt;=$E48,AI$6&lt;=$F48,Budget!$M38&gt;0),$D48/Budget!$M38,0)))</f>
        <v>0</v>
      </c>
      <c r="AJ48" s="35">
        <f>IF(AJ$5="Actual",SUMIFS(Outflows!$L$7:$L$163,Outflows!$H$7:$H$163,$A48,Outflows!$M$7:$M$163,AJ$6),IF($A48="Sales VAT",SUM(AJ$8:AJ$12)*Inputs!$B$7/(1+Inputs!$B$7),IF(AND(AJ$6&gt;=$E48,AJ$6&lt;=$F48,Budget!$M38&gt;0),$D48/Budget!$M38,0)))</f>
        <v>0</v>
      </c>
      <c r="AK48" s="35">
        <f>IF(AK$5="Actual",SUMIFS(Outflows!$L$7:$L$163,Outflows!$H$7:$H$163,$A48,Outflows!$M$7:$M$163,AK$6),IF($A48="Sales VAT",SUM(AK$8:AK$12)*Inputs!$B$7/(1+Inputs!$B$7),IF(AND(AK$6&gt;=$E48,AK$6&lt;=$F48,Budget!$M38&gt;0),$D48/Budget!$M38,0)))</f>
        <v>0</v>
      </c>
      <c r="AL48" s="35">
        <f>IF(AL$5="Actual",SUMIFS(Outflows!$L$7:$L$163,Outflows!$H$7:$H$163,$A48,Outflows!$M$7:$M$163,AL$6),IF($A48="Sales VAT",SUM(AL$8:AL$12)*Inputs!$B$7/(1+Inputs!$B$7),IF(AND(AL$6&gt;=$E48,AL$6&lt;=$F48,Budget!$M38&gt;0),$D48/Budget!$M38,0)))</f>
        <v>0</v>
      </c>
      <c r="AM48" s="35">
        <f>IF(AM$5="Actual",SUMIFS(Outflows!$L$7:$L$163,Outflows!$H$7:$H$163,$A48,Outflows!$M$7:$M$163,AM$6),IF($A48="Sales VAT",SUM(AM$8:AM$12)*Inputs!$B$7/(1+Inputs!$B$7),IF(AND(AM$6&gt;=$E48,AM$6&lt;=$F48,Budget!$M38&gt;0),$D48/Budget!$M38,0)))</f>
        <v>0</v>
      </c>
      <c r="AN48" s="35">
        <f>IF(AN$5="Actual",SUMIFS(Outflows!$L$7:$L$163,Outflows!$H$7:$H$163,$A48,Outflows!$M$7:$M$163,AN$6),IF($A48="Sales VAT",SUM(AN$8:AN$12)*Inputs!$B$7/(1+Inputs!$B$7),IF(AND(AN$6&gt;=$E48,AN$6&lt;=$F48,Budget!$M38&gt;0),$D48/Budget!$M38,0)))</f>
        <v>0</v>
      </c>
      <c r="AO48" s="35">
        <f>IF(AO$5="Actual",SUMIFS(Outflows!$L$7:$L$163,Outflows!$H$7:$H$163,$A48,Outflows!$M$7:$M$163,AO$6),IF($A48="Sales VAT",SUM(AO$8:AO$12)*Inputs!$B$7/(1+Inputs!$B$7),IF(AND(AO$6&gt;=$E48,AO$6&lt;=$F48,Budget!$M38&gt;0),$D48/Budget!$M38,0)))</f>
        <v>0</v>
      </c>
      <c r="AP48" s="35">
        <f>IF(AP$5="Actual",SUMIFS(Outflows!$L$7:$L$163,Outflows!$H$7:$H$163,$A48,Outflows!$M$7:$M$163,AP$6),IF($A48="Sales VAT",SUM(AP$8:AP$12)*Inputs!$B$7/(1+Inputs!$B$7),IF(AND(AP$6&gt;=$E48,AP$6&lt;=$F48,Budget!$M38&gt;0),$D48/Budget!$M38,0)))</f>
        <v>0</v>
      </c>
      <c r="AQ48" s="35">
        <f>IF(AQ$5="Actual",SUMIFS(Outflows!$L$7:$L$163,Outflows!$H$7:$H$163,$A48,Outflows!$M$7:$M$163,AQ$6),IF($A48="Sales VAT",SUM(AQ$8:AQ$12)*Inputs!$B$7/(1+Inputs!$B$7),IF(AND(AQ$6&gt;=$E48,AQ$6&lt;=$F48,Budget!$M38&gt;0),$D48/Budget!$M38,0)))</f>
        <v>0</v>
      </c>
      <c r="AR48" s="35">
        <f>IF(AR$5="Actual",SUMIFS(Outflows!$L$7:$L$163,Outflows!$H$7:$H$163,$A48,Outflows!$M$7:$M$163,AR$6),IF($A48="Sales VAT",SUM(AR$8:AR$12)*Inputs!$B$7/(1+Inputs!$B$7),IF(AND(AR$6&gt;=$E48,AR$6&lt;=$F48,Budget!$M38&gt;0),$D48/Budget!$M38,0)))</f>
        <v>0</v>
      </c>
      <c r="AS48" s="35">
        <f>IF(AS$5="Actual",SUMIFS(Outflows!$L$7:$L$163,Outflows!$H$7:$H$163,$A48,Outflows!$M$7:$M$163,AS$6),IF($A48="Sales VAT",SUM(AS$8:AS$12)*Inputs!$B$7/(1+Inputs!$B$7),IF(AND(AS$6&gt;=$E48,AS$6&lt;=$F48,Budget!$M38&gt;0),$D48/Budget!$M38,0)))</f>
        <v>0</v>
      </c>
      <c r="AT48" s="35">
        <f>IF(AT$5="Actual",SUMIFS(Outflows!$L$7:$L$163,Outflows!$H$7:$H$163,$A48,Outflows!$M$7:$M$163,AT$6),IF($A48="Sales VAT",SUM(AT$8:AT$12)*Inputs!$B$7/(1+Inputs!$B$7),IF(AND(AT$6&gt;=$E48,AT$6&lt;=$F48,Budget!$M38&gt;0),$D48/Budget!$M38,0)))</f>
        <v>0</v>
      </c>
      <c r="AU48" s="35">
        <f>IF(AU$5="Actual",SUMIFS(Outflows!$L$7:$L$163,Outflows!$H$7:$H$163,$A48,Outflows!$M$7:$M$163,AU$6),IF($A48="Sales VAT",SUM(AU$8:AU$12)*Inputs!$B$7/(1+Inputs!$B$7),IF(AND(AU$6&gt;=$E48,AU$6&lt;=$F48,Budget!$M38&gt;0),$D48/Budget!$M38,0)))</f>
        <v>0</v>
      </c>
      <c r="AV48" s="35">
        <f>IF(AV$5="Actual",SUMIFS(Outflows!$L$7:$L$163,Outflows!$H$7:$H$163,$A48,Outflows!$M$7:$M$163,AV$6),IF($A48="Sales VAT",SUM(AV$8:AV$12)*Inputs!$B$7/(1+Inputs!$B$7),IF(AND(AV$6&gt;=$E48,AV$6&lt;=$F48,Budget!$M38&gt;0),$D48/Budget!$M38,0)))</f>
        <v>0</v>
      </c>
      <c r="AW48" s="35">
        <f>IF(AW$5="Actual",SUMIFS(Outflows!$L$7:$L$163,Outflows!$H$7:$H$163,$A48,Outflows!$M$7:$M$163,AW$6),IF($A48="Sales VAT",SUM(AW$8:AW$12)*Inputs!$B$7/(1+Inputs!$B$7),IF(AND(AW$6&gt;=$E48,AW$6&lt;=$F48,Budget!$M38&gt;0),$D48/Budget!$M38,0)))</f>
        <v>0</v>
      </c>
      <c r="AX48" s="35">
        <f>IF(AX$5="Actual",SUMIFS(Outflows!$L$7:$L$163,Outflows!$H$7:$H$163,$A48,Outflows!$M$7:$M$163,AX$6),IF($A48="Sales VAT",SUM(AX$8:AX$12)*Inputs!$B$7/(1+Inputs!$B$7),IF(AND(AX$6&gt;=$E48,AX$6&lt;=$F48,Budget!$M38&gt;0),$D48/Budget!$M38,0)))</f>
        <v>0</v>
      </c>
      <c r="AY48" s="35">
        <f>IF(AY$5="Actual",SUMIFS(Outflows!$L$7:$L$163,Outflows!$H$7:$H$163,$A48,Outflows!$M$7:$M$163,AY$6),IF($A48="Sales VAT",SUM(AY$8:AY$12)*Inputs!$B$7/(1+Inputs!$B$7),IF(AND(AY$6&gt;=$E48,AY$6&lt;=$F48,Budget!$M38&gt;0),$D48/Budget!$M38,0)))</f>
        <v>0</v>
      </c>
      <c r="AZ48" s="35">
        <f>IF(AZ$5="Actual",SUMIFS(Outflows!$L$7:$L$163,Outflows!$H$7:$H$163,$A48,Outflows!$M$7:$M$163,AZ$6),IF($A48="Sales VAT",SUM(AZ$8:AZ$12)*Inputs!$B$7/(1+Inputs!$B$7),IF(AND(AZ$6&gt;=$E48,AZ$6&lt;=$F48,Budget!$M38&gt;0),$D48/Budget!$M38,0)))</f>
        <v>0</v>
      </c>
      <c r="BA48" s="35">
        <f>IF(BA$5="Actual",SUMIFS(Outflows!$L$7:$L$163,Outflows!$H$7:$H$163,$A48,Outflows!$M$7:$M$163,BA$6),IF($A48="Sales VAT",SUM(BA$8:BA$12)*Inputs!$B$7/(1+Inputs!$B$7),IF(AND(BA$6&gt;=$E48,BA$6&lt;=$F48,Budget!$M38&gt;0),$D48/Budget!$M38,0)))</f>
        <v>0</v>
      </c>
    </row>
    <row r="49" spans="1:53">
      <c r="A49" s="89" t="s">
        <v>172</v>
      </c>
      <c r="B49" s="94">
        <f>SUM(B17:B48)</f>
        <v>11480716.629746545</v>
      </c>
      <c r="C49" s="94">
        <f>SUM(C17:C48)</f>
        <v>788238.54985582863</v>
      </c>
      <c r="D49" s="94">
        <f>SUM(D17:D48)</f>
        <v>10696574.460416501</v>
      </c>
      <c r="E49" s="99"/>
      <c r="F49" s="99"/>
      <c r="G49" s="94">
        <f t="shared" ref="G49:BA49" si="1">SUM(G17:G48)</f>
        <v>7489.040428641013</v>
      </c>
      <c r="H49" s="94">
        <f t="shared" si="1"/>
        <v>0</v>
      </c>
      <c r="I49" s="94">
        <f t="shared" si="1"/>
        <v>2496.8789013732835</v>
      </c>
      <c r="J49" s="94">
        <f t="shared" si="1"/>
        <v>7554.6617161716167</v>
      </c>
      <c r="K49" s="94">
        <f t="shared" si="1"/>
        <v>31594.457165948275</v>
      </c>
      <c r="L49" s="94">
        <f t="shared" si="1"/>
        <v>4.9471854526006149</v>
      </c>
      <c r="M49" s="94">
        <f t="shared" si="1"/>
        <v>0</v>
      </c>
      <c r="N49" s="94">
        <f t="shared" si="1"/>
        <v>1564.504492687086</v>
      </c>
      <c r="O49" s="94">
        <f t="shared" si="1"/>
        <v>6459.1719212456564</v>
      </c>
      <c r="P49" s="94">
        <f t="shared" si="1"/>
        <v>15982.315561733492</v>
      </c>
      <c r="Q49" s="94">
        <f t="shared" si="1"/>
        <v>15916.817841840952</v>
      </c>
      <c r="R49" s="94">
        <f t="shared" si="1"/>
        <v>63955.407342279184</v>
      </c>
      <c r="S49" s="94">
        <f t="shared" si="1"/>
        <v>44441.505757496394</v>
      </c>
      <c r="T49" s="94">
        <f t="shared" si="1"/>
        <v>140489.73487829257</v>
      </c>
      <c r="U49" s="94">
        <f t="shared" si="1"/>
        <v>33533.146666666667</v>
      </c>
      <c r="V49" s="94">
        <f t="shared" si="1"/>
        <v>38369.791666666664</v>
      </c>
      <c r="W49" s="94">
        <f t="shared" si="1"/>
        <v>104742.17507666667</v>
      </c>
      <c r="X49" s="94">
        <f t="shared" si="1"/>
        <v>99645.477851999996</v>
      </c>
      <c r="Y49" s="94">
        <f t="shared" si="1"/>
        <v>50040.382884666666</v>
      </c>
      <c r="Z49" s="94">
        <f t="shared" si="1"/>
        <v>31058.543533333333</v>
      </c>
      <c r="AA49" s="94">
        <f t="shared" si="1"/>
        <v>35742.202315999995</v>
      </c>
      <c r="AB49" s="94">
        <f t="shared" si="1"/>
        <v>29657.386666666665</v>
      </c>
      <c r="AC49" s="94">
        <f t="shared" si="1"/>
        <v>27500</v>
      </c>
      <c r="AD49" s="94">
        <f t="shared" si="1"/>
        <v>539201.71285967971</v>
      </c>
      <c r="AE49" s="94">
        <f t="shared" si="1"/>
        <v>534019.41410970339</v>
      </c>
      <c r="AF49" s="94">
        <f t="shared" si="1"/>
        <v>534019.41410970339</v>
      </c>
      <c r="AG49" s="94">
        <f t="shared" si="1"/>
        <v>534019.41410970339</v>
      </c>
      <c r="AH49" s="94">
        <f t="shared" si="1"/>
        <v>534019.41410970339</v>
      </c>
      <c r="AI49" s="94">
        <f t="shared" si="1"/>
        <v>534019.41410970339</v>
      </c>
      <c r="AJ49" s="94">
        <f t="shared" si="1"/>
        <v>661437.48579805717</v>
      </c>
      <c r="AK49" s="94">
        <f t="shared" si="1"/>
        <v>496623.88343280094</v>
      </c>
      <c r="AL49" s="94">
        <f t="shared" si="1"/>
        <v>496623.88343280094</v>
      </c>
      <c r="AM49" s="94">
        <f t="shared" si="1"/>
        <v>496623.88343280094</v>
      </c>
      <c r="AN49" s="94">
        <f t="shared" si="1"/>
        <v>496623.88343280094</v>
      </c>
      <c r="AO49" s="94">
        <f t="shared" si="1"/>
        <v>496623.88343280094</v>
      </c>
      <c r="AP49" s="94">
        <f t="shared" si="1"/>
        <v>810392.21490597806</v>
      </c>
      <c r="AQ49" s="94">
        <f t="shared" si="1"/>
        <v>464958.62953995733</v>
      </c>
      <c r="AR49" s="94">
        <f t="shared" si="1"/>
        <v>464958.62953995733</v>
      </c>
      <c r="AS49" s="94">
        <f t="shared" si="1"/>
        <v>464958.62953995733</v>
      </c>
      <c r="AT49" s="94">
        <f t="shared" si="1"/>
        <v>464958.62953995733</v>
      </c>
      <c r="AU49" s="94">
        <f t="shared" si="1"/>
        <v>464958.62953995733</v>
      </c>
      <c r="AV49" s="94">
        <f t="shared" si="1"/>
        <v>644355.56523854693</v>
      </c>
      <c r="AW49" s="94">
        <f t="shared" si="1"/>
        <v>33509.459682523811</v>
      </c>
      <c r="AX49" s="94">
        <f t="shared" si="1"/>
        <v>33509.459682523811</v>
      </c>
      <c r="AY49" s="94">
        <f t="shared" si="1"/>
        <v>0</v>
      </c>
      <c r="AZ49" s="94">
        <f t="shared" si="1"/>
        <v>0</v>
      </c>
      <c r="BA49" s="94">
        <f t="shared" si="1"/>
        <v>457562.82634198957</v>
      </c>
    </row>
    <row r="50" spans="1:53">
      <c r="A50" s="6"/>
      <c r="B50" s="35"/>
      <c r="C50" s="35"/>
      <c r="D50" s="35"/>
      <c r="E50" s="61"/>
      <c r="F50" s="61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</row>
    <row r="51" spans="1:53">
      <c r="A51" s="6"/>
      <c r="B51" s="35"/>
      <c r="C51" s="35"/>
      <c r="D51" s="35"/>
      <c r="E51" s="61"/>
      <c r="F51" s="61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</row>
    <row r="52" spans="1:53">
      <c r="A52" s="90" t="s">
        <v>173</v>
      </c>
      <c r="B52" s="95"/>
      <c r="C52" s="95"/>
      <c r="D52" s="95"/>
      <c r="E52" s="100"/>
      <c r="F52" s="100"/>
      <c r="G52" s="95">
        <f t="shared" ref="G52:BA52" si="2">G14-G49</f>
        <v>-7489.040428641013</v>
      </c>
      <c r="H52" s="95">
        <f t="shared" si="2"/>
        <v>0</v>
      </c>
      <c r="I52" s="95">
        <f t="shared" si="2"/>
        <v>-2496.8789013732835</v>
      </c>
      <c r="J52" s="95">
        <f t="shared" si="2"/>
        <v>-7554.6617161716167</v>
      </c>
      <c r="K52" s="95">
        <f t="shared" si="2"/>
        <v>-31594.457165948275</v>
      </c>
      <c r="L52" s="95">
        <f t="shared" si="2"/>
        <v>-4.9471854526006149</v>
      </c>
      <c r="M52" s="95">
        <f t="shared" si="2"/>
        <v>0</v>
      </c>
      <c r="N52" s="95">
        <f t="shared" si="2"/>
        <v>-1564.504492687086</v>
      </c>
      <c r="O52" s="95">
        <f t="shared" si="2"/>
        <v>-6459.1719212456564</v>
      </c>
      <c r="P52" s="95">
        <f t="shared" si="2"/>
        <v>-15982.315561733492</v>
      </c>
      <c r="Q52" s="95">
        <f t="shared" si="2"/>
        <v>206080.09054414852</v>
      </c>
      <c r="R52" s="95">
        <f t="shared" si="2"/>
        <v>-63935.307342279186</v>
      </c>
      <c r="S52" s="95">
        <f t="shared" si="2"/>
        <v>177582.5542425036</v>
      </c>
      <c r="T52" s="95">
        <f t="shared" si="2"/>
        <v>-140443.06487829256</v>
      </c>
      <c r="U52" s="95">
        <f t="shared" si="2"/>
        <v>-33488.796666666669</v>
      </c>
      <c r="V52" s="95">
        <f t="shared" si="2"/>
        <v>-38324.111666666664</v>
      </c>
      <c r="W52" s="95">
        <f t="shared" si="2"/>
        <v>-104699.83935933333</v>
      </c>
      <c r="X52" s="95">
        <f t="shared" si="2"/>
        <v>-99609.979925333333</v>
      </c>
      <c r="Y52" s="95">
        <f t="shared" si="2"/>
        <v>-50008.735127333333</v>
      </c>
      <c r="Z52" s="95">
        <f t="shared" si="2"/>
        <v>-31029.653533333334</v>
      </c>
      <c r="AA52" s="95">
        <f t="shared" si="2"/>
        <v>-35712.959337999993</v>
      </c>
      <c r="AB52" s="95">
        <f t="shared" si="2"/>
        <v>358910.32296600001</v>
      </c>
      <c r="AC52" s="95">
        <f t="shared" si="2"/>
        <v>-27500</v>
      </c>
      <c r="AD52" s="95">
        <f t="shared" si="2"/>
        <v>2946537.1940156203</v>
      </c>
      <c r="AE52" s="95">
        <f t="shared" si="2"/>
        <v>-534019.41410970339</v>
      </c>
      <c r="AF52" s="95">
        <f t="shared" si="2"/>
        <v>-534019.41410970339</v>
      </c>
      <c r="AG52" s="95">
        <f t="shared" si="2"/>
        <v>-534019.41410970339</v>
      </c>
      <c r="AH52" s="95">
        <f t="shared" si="2"/>
        <v>-534019.41410970339</v>
      </c>
      <c r="AI52" s="95">
        <f t="shared" si="2"/>
        <v>-534019.41410970339</v>
      </c>
      <c r="AJ52" s="95">
        <f t="shared" si="2"/>
        <v>1662388.4521188103</v>
      </c>
      <c r="AK52" s="95">
        <f t="shared" si="2"/>
        <v>-496623.88343280094</v>
      </c>
      <c r="AL52" s="95">
        <f t="shared" si="2"/>
        <v>-496623.88343280094</v>
      </c>
      <c r="AM52" s="95">
        <f t="shared" si="2"/>
        <v>-496623.88343280094</v>
      </c>
      <c r="AN52" s="95">
        <f t="shared" si="2"/>
        <v>-496623.88343280094</v>
      </c>
      <c r="AO52" s="95">
        <f t="shared" si="2"/>
        <v>-496623.88343280094</v>
      </c>
      <c r="AP52" s="95">
        <f t="shared" si="2"/>
        <v>2675346.691969322</v>
      </c>
      <c r="AQ52" s="95">
        <f t="shared" si="2"/>
        <v>-464958.62953995733</v>
      </c>
      <c r="AR52" s="95">
        <f t="shared" si="2"/>
        <v>-464958.62953995733</v>
      </c>
      <c r="AS52" s="95">
        <f t="shared" si="2"/>
        <v>-464958.62953995733</v>
      </c>
      <c r="AT52" s="95">
        <f t="shared" si="2"/>
        <v>-464958.62953995733</v>
      </c>
      <c r="AU52" s="95">
        <f t="shared" si="2"/>
        <v>-464958.62953995733</v>
      </c>
      <c r="AV52" s="95">
        <f t="shared" si="2"/>
        <v>1679470.3726783204</v>
      </c>
      <c r="AW52" s="95">
        <f t="shared" si="2"/>
        <v>-33509.459682523811</v>
      </c>
      <c r="AX52" s="95">
        <f t="shared" si="2"/>
        <v>-33509.459682523811</v>
      </c>
      <c r="AY52" s="95">
        <f t="shared" si="2"/>
        <v>0</v>
      </c>
      <c r="AZ52" s="95">
        <f t="shared" si="2"/>
        <v>0</v>
      </c>
      <c r="BA52" s="95">
        <f t="shared" si="2"/>
        <v>-457562.82634198957</v>
      </c>
    </row>
    <row r="53" spans="1:53">
      <c r="A53" s="90" t="s">
        <v>174</v>
      </c>
      <c r="B53" s="95"/>
      <c r="C53" s="95"/>
      <c r="D53" s="95"/>
      <c r="E53" s="100"/>
      <c r="F53" s="100"/>
      <c r="G53" s="95">
        <f>Inputs!$B$13</f>
        <v>0</v>
      </c>
      <c r="H53" s="95">
        <f t="shared" ref="H53:BA53" si="3">G54</f>
        <v>-7489.040428641013</v>
      </c>
      <c r="I53" s="95">
        <f t="shared" si="3"/>
        <v>-7489.040428641013</v>
      </c>
      <c r="J53" s="95">
        <f t="shared" si="3"/>
        <v>-9985.9193300142961</v>
      </c>
      <c r="K53" s="95">
        <f t="shared" si="3"/>
        <v>-17540.581046185915</v>
      </c>
      <c r="L53" s="95">
        <f t="shared" si="3"/>
        <v>-49135.03821213419</v>
      </c>
      <c r="M53" s="95">
        <f t="shared" si="3"/>
        <v>-49139.985397586788</v>
      </c>
      <c r="N53" s="95">
        <f t="shared" si="3"/>
        <v>-49139.985397586788</v>
      </c>
      <c r="O53" s="95">
        <f t="shared" si="3"/>
        <v>-50704.489890273871</v>
      </c>
      <c r="P53" s="95">
        <f t="shared" si="3"/>
        <v>-57163.661811519531</v>
      </c>
      <c r="Q53" s="95">
        <f t="shared" si="3"/>
        <v>-73145.97737325303</v>
      </c>
      <c r="R53" s="95">
        <f t="shared" si="3"/>
        <v>132934.11317089549</v>
      </c>
      <c r="S53" s="95">
        <f t="shared" si="3"/>
        <v>68998.805828616314</v>
      </c>
      <c r="T53" s="95">
        <f t="shared" si="3"/>
        <v>246581.36007111991</v>
      </c>
      <c r="U53" s="95">
        <f t="shared" si="3"/>
        <v>106138.29519282735</v>
      </c>
      <c r="V53" s="95">
        <f t="shared" si="3"/>
        <v>72649.498526160693</v>
      </c>
      <c r="W53" s="95">
        <f t="shared" si="3"/>
        <v>34325.386859494029</v>
      </c>
      <c r="X53" s="95">
        <f t="shared" si="3"/>
        <v>-70374.452499839303</v>
      </c>
      <c r="Y53" s="95">
        <f t="shared" si="3"/>
        <v>-169984.43242517265</v>
      </c>
      <c r="Z53" s="95">
        <f t="shared" si="3"/>
        <v>-219993.16755250597</v>
      </c>
      <c r="AA53" s="95">
        <f t="shared" si="3"/>
        <v>-251022.8210858393</v>
      </c>
      <c r="AB53" s="95">
        <f t="shared" si="3"/>
        <v>-286735.78042383929</v>
      </c>
      <c r="AC53" s="95">
        <f t="shared" si="3"/>
        <v>72174.542542160721</v>
      </c>
      <c r="AD53" s="95">
        <f t="shared" si="3"/>
        <v>44674.542542160721</v>
      </c>
      <c r="AE53" s="95">
        <f t="shared" si="3"/>
        <v>2991211.7365577808</v>
      </c>
      <c r="AF53" s="95">
        <f t="shared" si="3"/>
        <v>2457192.3224480776</v>
      </c>
      <c r="AG53" s="95">
        <f t="shared" si="3"/>
        <v>1923172.9083383742</v>
      </c>
      <c r="AH53" s="95">
        <f t="shared" si="3"/>
        <v>1389153.4942286708</v>
      </c>
      <c r="AI53" s="95">
        <f t="shared" si="3"/>
        <v>855134.08011896745</v>
      </c>
      <c r="AJ53" s="95">
        <f t="shared" si="3"/>
        <v>321114.66600926407</v>
      </c>
      <c r="AK53" s="95">
        <f t="shared" si="3"/>
        <v>1983503.1181280743</v>
      </c>
      <c r="AL53" s="95">
        <f t="shared" si="3"/>
        <v>1486879.2346952735</v>
      </c>
      <c r="AM53" s="95">
        <f t="shared" si="3"/>
        <v>990255.35126247257</v>
      </c>
      <c r="AN53" s="95">
        <f t="shared" si="3"/>
        <v>493631.46782967163</v>
      </c>
      <c r="AO53" s="95">
        <f t="shared" si="3"/>
        <v>-2992.4156031293096</v>
      </c>
      <c r="AP53" s="95">
        <f t="shared" si="3"/>
        <v>-499616.29903593025</v>
      </c>
      <c r="AQ53" s="95">
        <f t="shared" si="3"/>
        <v>2175730.392933392</v>
      </c>
      <c r="AR53" s="95">
        <f t="shared" si="3"/>
        <v>1710771.7633934347</v>
      </c>
      <c r="AS53" s="95">
        <f t="shared" si="3"/>
        <v>1245813.1338534774</v>
      </c>
      <c r="AT53" s="95">
        <f t="shared" si="3"/>
        <v>780854.50431352016</v>
      </c>
      <c r="AU53" s="95">
        <f t="shared" si="3"/>
        <v>315895.87477356283</v>
      </c>
      <c r="AV53" s="95">
        <f t="shared" si="3"/>
        <v>-149062.7547663945</v>
      </c>
      <c r="AW53" s="95">
        <f t="shared" si="3"/>
        <v>1530407.617911926</v>
      </c>
      <c r="AX53" s="95">
        <f t="shared" si="3"/>
        <v>1496898.1582294023</v>
      </c>
      <c r="AY53" s="95">
        <f t="shared" si="3"/>
        <v>1463388.6985468785</v>
      </c>
      <c r="AZ53" s="95">
        <f t="shared" si="3"/>
        <v>1463388.6985468785</v>
      </c>
      <c r="BA53" s="95">
        <f t="shared" si="3"/>
        <v>1463388.6985468785</v>
      </c>
    </row>
    <row r="54" spans="1:53">
      <c r="A54" s="91" t="s">
        <v>175</v>
      </c>
      <c r="B54" s="96"/>
      <c r="C54" s="96"/>
      <c r="D54" s="96"/>
      <c r="E54" s="101"/>
      <c r="F54" s="101"/>
      <c r="G54" s="96">
        <f t="shared" ref="G54:BA54" si="4">G53+G52</f>
        <v>-7489.040428641013</v>
      </c>
      <c r="H54" s="96">
        <f t="shared" si="4"/>
        <v>-7489.040428641013</v>
      </c>
      <c r="I54" s="96">
        <f t="shared" si="4"/>
        <v>-9985.9193300142961</v>
      </c>
      <c r="J54" s="96">
        <f t="shared" si="4"/>
        <v>-17540.581046185915</v>
      </c>
      <c r="K54" s="96">
        <f t="shared" si="4"/>
        <v>-49135.03821213419</v>
      </c>
      <c r="L54" s="96">
        <f t="shared" si="4"/>
        <v>-49139.985397586788</v>
      </c>
      <c r="M54" s="96">
        <f t="shared" si="4"/>
        <v>-49139.985397586788</v>
      </c>
      <c r="N54" s="96">
        <f t="shared" si="4"/>
        <v>-50704.489890273871</v>
      </c>
      <c r="O54" s="96">
        <f t="shared" si="4"/>
        <v>-57163.661811519531</v>
      </c>
      <c r="P54" s="96">
        <f t="shared" si="4"/>
        <v>-73145.97737325303</v>
      </c>
      <c r="Q54" s="96">
        <f t="shared" si="4"/>
        <v>132934.11317089549</v>
      </c>
      <c r="R54" s="96">
        <f t="shared" si="4"/>
        <v>68998.805828616314</v>
      </c>
      <c r="S54" s="96">
        <f t="shared" si="4"/>
        <v>246581.36007111991</v>
      </c>
      <c r="T54" s="96">
        <f t="shared" si="4"/>
        <v>106138.29519282735</v>
      </c>
      <c r="U54" s="96">
        <f t="shared" si="4"/>
        <v>72649.498526160693</v>
      </c>
      <c r="V54" s="96">
        <f t="shared" si="4"/>
        <v>34325.386859494029</v>
      </c>
      <c r="W54" s="96">
        <f t="shared" si="4"/>
        <v>-70374.452499839303</v>
      </c>
      <c r="X54" s="96">
        <f t="shared" si="4"/>
        <v>-169984.43242517265</v>
      </c>
      <c r="Y54" s="96">
        <f t="shared" si="4"/>
        <v>-219993.16755250597</v>
      </c>
      <c r="Z54" s="96">
        <f t="shared" si="4"/>
        <v>-251022.8210858393</v>
      </c>
      <c r="AA54" s="96">
        <f t="shared" si="4"/>
        <v>-286735.78042383929</v>
      </c>
      <c r="AB54" s="96">
        <f t="shared" si="4"/>
        <v>72174.542542160721</v>
      </c>
      <c r="AC54" s="96">
        <f t="shared" si="4"/>
        <v>44674.542542160721</v>
      </c>
      <c r="AD54" s="96">
        <f t="shared" si="4"/>
        <v>2991211.7365577808</v>
      </c>
      <c r="AE54" s="96">
        <f t="shared" si="4"/>
        <v>2457192.3224480776</v>
      </c>
      <c r="AF54" s="96">
        <f t="shared" si="4"/>
        <v>1923172.9083383742</v>
      </c>
      <c r="AG54" s="96">
        <f t="shared" si="4"/>
        <v>1389153.4942286708</v>
      </c>
      <c r="AH54" s="96">
        <f t="shared" si="4"/>
        <v>855134.08011896745</v>
      </c>
      <c r="AI54" s="96">
        <f t="shared" si="4"/>
        <v>321114.66600926407</v>
      </c>
      <c r="AJ54" s="96">
        <f t="shared" si="4"/>
        <v>1983503.1181280743</v>
      </c>
      <c r="AK54" s="96">
        <f t="shared" si="4"/>
        <v>1486879.2346952735</v>
      </c>
      <c r="AL54" s="96">
        <f t="shared" si="4"/>
        <v>990255.35126247257</v>
      </c>
      <c r="AM54" s="96">
        <f t="shared" si="4"/>
        <v>493631.46782967163</v>
      </c>
      <c r="AN54" s="96">
        <f t="shared" si="4"/>
        <v>-2992.4156031293096</v>
      </c>
      <c r="AO54" s="96">
        <f t="shared" si="4"/>
        <v>-499616.29903593025</v>
      </c>
      <c r="AP54" s="96">
        <f t="shared" si="4"/>
        <v>2175730.392933392</v>
      </c>
      <c r="AQ54" s="96">
        <f t="shared" si="4"/>
        <v>1710771.7633934347</v>
      </c>
      <c r="AR54" s="96">
        <f t="shared" si="4"/>
        <v>1245813.1338534774</v>
      </c>
      <c r="AS54" s="96">
        <f t="shared" si="4"/>
        <v>780854.50431352016</v>
      </c>
      <c r="AT54" s="96">
        <f t="shared" si="4"/>
        <v>315895.87477356283</v>
      </c>
      <c r="AU54" s="96">
        <f t="shared" si="4"/>
        <v>-149062.7547663945</v>
      </c>
      <c r="AV54" s="96">
        <f t="shared" si="4"/>
        <v>1530407.617911926</v>
      </c>
      <c r="AW54" s="96">
        <f t="shared" si="4"/>
        <v>1496898.1582294023</v>
      </c>
      <c r="AX54" s="96">
        <f t="shared" si="4"/>
        <v>1463388.6985468785</v>
      </c>
      <c r="AY54" s="96">
        <f t="shared" si="4"/>
        <v>1463388.6985468785</v>
      </c>
      <c r="AZ54" s="96">
        <f t="shared" si="4"/>
        <v>1463388.6985468785</v>
      </c>
      <c r="BA54" s="96">
        <f t="shared" si="4"/>
        <v>1005825.872204889</v>
      </c>
    </row>
    <row r="55" spans="1:53">
      <c r="A55" s="92" t="s">
        <v>176</v>
      </c>
      <c r="B55" s="97"/>
      <c r="C55" s="97"/>
      <c r="D55" s="97"/>
      <c r="E55" s="102"/>
      <c r="F55" s="102"/>
      <c r="G55" s="97">
        <f t="shared" ref="G55:BA55" si="5">MAX(0,-G54)</f>
        <v>7489.040428641013</v>
      </c>
      <c r="H55" s="97">
        <f t="shared" si="5"/>
        <v>7489.040428641013</v>
      </c>
      <c r="I55" s="97">
        <f t="shared" si="5"/>
        <v>9985.9193300142961</v>
      </c>
      <c r="J55" s="97">
        <f t="shared" si="5"/>
        <v>17540.581046185915</v>
      </c>
      <c r="K55" s="97">
        <f t="shared" si="5"/>
        <v>49135.03821213419</v>
      </c>
      <c r="L55" s="97">
        <f t="shared" si="5"/>
        <v>49139.985397586788</v>
      </c>
      <c r="M55" s="97">
        <f t="shared" si="5"/>
        <v>49139.985397586788</v>
      </c>
      <c r="N55" s="97">
        <f t="shared" si="5"/>
        <v>50704.489890273871</v>
      </c>
      <c r="O55" s="97">
        <f t="shared" si="5"/>
        <v>57163.661811519531</v>
      </c>
      <c r="P55" s="97">
        <f t="shared" si="5"/>
        <v>73145.97737325303</v>
      </c>
      <c r="Q55" s="97">
        <f t="shared" si="5"/>
        <v>0</v>
      </c>
      <c r="R55" s="97">
        <f t="shared" si="5"/>
        <v>0</v>
      </c>
      <c r="S55" s="97">
        <f t="shared" si="5"/>
        <v>0</v>
      </c>
      <c r="T55" s="97">
        <f t="shared" si="5"/>
        <v>0</v>
      </c>
      <c r="U55" s="97">
        <f t="shared" si="5"/>
        <v>0</v>
      </c>
      <c r="V55" s="97">
        <f t="shared" si="5"/>
        <v>0</v>
      </c>
      <c r="W55" s="97">
        <f t="shared" si="5"/>
        <v>70374.452499839303</v>
      </c>
      <c r="X55" s="97">
        <f t="shared" si="5"/>
        <v>169984.43242517265</v>
      </c>
      <c r="Y55" s="97">
        <f t="shared" si="5"/>
        <v>219993.16755250597</v>
      </c>
      <c r="Z55" s="97">
        <f t="shared" si="5"/>
        <v>251022.8210858393</v>
      </c>
      <c r="AA55" s="97">
        <f t="shared" si="5"/>
        <v>286735.78042383929</v>
      </c>
      <c r="AB55" s="97">
        <f t="shared" si="5"/>
        <v>0</v>
      </c>
      <c r="AC55" s="97">
        <f t="shared" si="5"/>
        <v>0</v>
      </c>
      <c r="AD55" s="97">
        <f t="shared" si="5"/>
        <v>0</v>
      </c>
      <c r="AE55" s="97">
        <f t="shared" si="5"/>
        <v>0</v>
      </c>
      <c r="AF55" s="97">
        <f t="shared" si="5"/>
        <v>0</v>
      </c>
      <c r="AG55" s="97">
        <f t="shared" si="5"/>
        <v>0</v>
      </c>
      <c r="AH55" s="97">
        <f t="shared" si="5"/>
        <v>0</v>
      </c>
      <c r="AI55" s="97">
        <f t="shared" si="5"/>
        <v>0</v>
      </c>
      <c r="AJ55" s="97">
        <f t="shared" si="5"/>
        <v>0</v>
      </c>
      <c r="AK55" s="97">
        <f t="shared" si="5"/>
        <v>0</v>
      </c>
      <c r="AL55" s="97">
        <f t="shared" si="5"/>
        <v>0</v>
      </c>
      <c r="AM55" s="97">
        <f t="shared" si="5"/>
        <v>0</v>
      </c>
      <c r="AN55" s="97">
        <f t="shared" si="5"/>
        <v>2992.4156031293096</v>
      </c>
      <c r="AO55" s="97">
        <f t="shared" si="5"/>
        <v>499616.29903593025</v>
      </c>
      <c r="AP55" s="97">
        <f t="shared" si="5"/>
        <v>0</v>
      </c>
      <c r="AQ55" s="97">
        <f t="shared" si="5"/>
        <v>0</v>
      </c>
      <c r="AR55" s="97">
        <f t="shared" si="5"/>
        <v>0</v>
      </c>
      <c r="AS55" s="97">
        <f t="shared" si="5"/>
        <v>0</v>
      </c>
      <c r="AT55" s="97">
        <f t="shared" si="5"/>
        <v>0</v>
      </c>
      <c r="AU55" s="97">
        <f t="shared" si="5"/>
        <v>149062.7547663945</v>
      </c>
      <c r="AV55" s="97">
        <f t="shared" si="5"/>
        <v>0</v>
      </c>
      <c r="AW55" s="97">
        <f t="shared" si="5"/>
        <v>0</v>
      </c>
      <c r="AX55" s="97">
        <f t="shared" si="5"/>
        <v>0</v>
      </c>
      <c r="AY55" s="97">
        <f t="shared" si="5"/>
        <v>0</v>
      </c>
      <c r="AZ55" s="97">
        <f t="shared" si="5"/>
        <v>0</v>
      </c>
      <c r="BA55" s="97">
        <f t="shared" si="5"/>
        <v>0</v>
      </c>
    </row>
  </sheetData>
  <mergeCells count="4">
    <mergeCell ref="A1:BA1"/>
    <mergeCell ref="A2:BA2"/>
    <mergeCell ref="A7:BA7"/>
    <mergeCell ref="A16:BA16"/>
  </mergeCells>
  <conditionalFormatting sqref="G54:BA54">
    <cfRule type="cellIs" dxfId="28" priority="1" operator="lessThan">
      <formula>0</formula>
    </cfRule>
  </conditionalFormatting>
  <hyperlinks>
    <hyperlink ref="J1" location="Cover!A1" tooltip="Back to Cover" display="← Back to Cover" xr:uid="{1DBEC51B-0ED1-4BCF-993D-2C5A6663D1A1}"/>
    <hyperlink ref="N1" location="Cover!A1" tooltip="Back to Cover" display="← Back to Cover" xr:uid="{64C379A3-70CC-44BD-AD59-DAAA4B09484B}"/>
    <hyperlink ref="N4" location="Cover!A1" tooltip="Back to Cover" display="← Back to Cover" xr:uid="{FEE6BBE2-0055-4670-BF0E-F668E3C7A9B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N113"/>
  <sheetViews>
    <sheetView showGridLines="0" workbookViewId="0">
      <selection activeCell="D7" sqref="D7"/>
    </sheetView>
  </sheetViews>
  <sheetFormatPr defaultRowHeight="13.5"/>
  <cols>
    <col min="1" max="1" width="11" customWidth="1"/>
    <col min="2" max="2" width="20" customWidth="1"/>
    <col min="3" max="3" width="34" customWidth="1"/>
    <col min="4" max="14" width="17" customWidth="1"/>
  </cols>
  <sheetData>
    <row r="1" spans="1:14" ht="30" customHeight="1">
      <c r="A1" s="146" t="s">
        <v>177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71"/>
    </row>
    <row r="2" spans="1:14" ht="28.15" customHeight="1">
      <c r="A2" s="150" t="s">
        <v>178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4" spans="1:14" ht="13.9">
      <c r="N4" s="123" t="s">
        <v>99</v>
      </c>
    </row>
    <row r="5" spans="1:14" ht="30" customHeight="1">
      <c r="A5" s="2" t="s">
        <v>179</v>
      </c>
      <c r="B5" s="3" t="s">
        <v>113</v>
      </c>
      <c r="C5" s="3" t="s">
        <v>180</v>
      </c>
      <c r="D5" s="3" t="s">
        <v>132</v>
      </c>
      <c r="E5" s="3" t="s">
        <v>133</v>
      </c>
      <c r="F5" s="3" t="s">
        <v>134</v>
      </c>
      <c r="G5" s="3" t="s">
        <v>135</v>
      </c>
      <c r="H5" s="3" t="s">
        <v>136</v>
      </c>
      <c r="I5" s="3" t="s">
        <v>137</v>
      </c>
      <c r="J5" s="3" t="s">
        <v>138</v>
      </c>
      <c r="K5" s="3" t="s">
        <v>139</v>
      </c>
      <c r="L5" s="3" t="s">
        <v>140</v>
      </c>
      <c r="M5" s="3" t="s">
        <v>181</v>
      </c>
      <c r="N5" s="4" t="s">
        <v>182</v>
      </c>
    </row>
    <row r="6" spans="1:14">
      <c r="A6" s="163" t="s">
        <v>183</v>
      </c>
      <c r="B6" s="163" t="s">
        <v>183</v>
      </c>
      <c r="C6" s="163" t="s">
        <v>183</v>
      </c>
      <c r="D6" s="163" t="s">
        <v>183</v>
      </c>
      <c r="E6" s="163" t="s">
        <v>183</v>
      </c>
      <c r="F6" s="163" t="s">
        <v>183</v>
      </c>
      <c r="G6" s="163" t="s">
        <v>183</v>
      </c>
      <c r="H6" s="163" t="s">
        <v>183</v>
      </c>
      <c r="I6" s="163" t="s">
        <v>183</v>
      </c>
      <c r="J6" s="163" t="s">
        <v>183</v>
      </c>
      <c r="K6" s="163" t="s">
        <v>183</v>
      </c>
      <c r="L6" s="163" t="s">
        <v>183</v>
      </c>
      <c r="M6" s="163" t="s">
        <v>183</v>
      </c>
      <c r="N6" s="163" t="s">
        <v>183</v>
      </c>
    </row>
    <row r="7" spans="1:14">
      <c r="A7" s="23" t="str">
        <f>Budget!A7</f>
        <v>HC01</v>
      </c>
      <c r="B7" s="23" t="str">
        <f>Budget!B7</f>
        <v>Hard Costs</v>
      </c>
      <c r="C7" s="23" t="str">
        <f>Budget!C7</f>
        <v>Preliminaries</v>
      </c>
      <c r="D7" s="33">
        <f>Budget!$G7*Budget!$AM7</f>
        <v>128399.47281399999</v>
      </c>
      <c r="E7" s="33">
        <f>Budget!$G7*Budget!$AN7</f>
        <v>81336.586809999993</v>
      </c>
      <c r="F7" s="33">
        <f>Budget!$G7*Budget!$AO7</f>
        <v>115186.50019800001</v>
      </c>
      <c r="G7" s="33">
        <f>Budget!$G7*Budget!$AP7</f>
        <v>41970.725114000001</v>
      </c>
      <c r="H7" s="33">
        <f>Budget!$G7*Budget!$AQ7</f>
        <v>0</v>
      </c>
      <c r="I7" s="33">
        <f>Budget!$G7*Budget!$AR7</f>
        <v>0</v>
      </c>
      <c r="J7" s="33">
        <f>Budget!$G7*Budget!$AS7</f>
        <v>0</v>
      </c>
      <c r="K7" s="33">
        <f>Budget!$G7*Budget!$AT7</f>
        <v>0</v>
      </c>
      <c r="L7" s="33">
        <f>Budget!$G7*Budget!$AU7</f>
        <v>39621.199954000003</v>
      </c>
      <c r="M7" s="33">
        <f t="shared" ref="M7:M38" si="0">SUM(D7:L7)</f>
        <v>406514.48489000002</v>
      </c>
      <c r="N7" s="33">
        <f>M7-Budget!$G7</f>
        <v>0</v>
      </c>
    </row>
    <row r="8" spans="1:14">
      <c r="A8" s="24" t="str">
        <f>Budget!A8</f>
        <v>HC02</v>
      </c>
      <c r="B8" s="24" t="str">
        <f>Budget!B8</f>
        <v>Hard Costs</v>
      </c>
      <c r="C8" s="24" t="str">
        <f>Budget!C8</f>
        <v>Structure &amp; Architecture</v>
      </c>
      <c r="D8" s="35">
        <f>Budget!$G8*Budget!$AM8</f>
        <v>1173228.4946580001</v>
      </c>
      <c r="E8" s="35">
        <f>Budget!$G8*Budget!$AN8</f>
        <v>774648.82944999996</v>
      </c>
      <c r="F8" s="35">
        <f>Budget!$G8*Budget!$AO8</f>
        <v>1160416.3676839999</v>
      </c>
      <c r="G8" s="35">
        <f>Budget!$G8*Budget!$AP8</f>
        <v>458986.306729</v>
      </c>
      <c r="H8" s="35">
        <f>Budget!$G8*Budget!$AQ8</f>
        <v>0</v>
      </c>
      <c r="I8" s="35">
        <f>Budget!$G8*Budget!$AR8</f>
        <v>0</v>
      </c>
      <c r="J8" s="35">
        <f>Budget!$G8*Budget!$AS8</f>
        <v>0</v>
      </c>
      <c r="K8" s="35">
        <f>Budget!$G8*Budget!$AT8</f>
        <v>0</v>
      </c>
      <c r="L8" s="35">
        <f>Budget!$G8*Budget!$AU8</f>
        <v>400227.151702</v>
      </c>
      <c r="M8" s="35">
        <f t="shared" si="0"/>
        <v>3967507.150223</v>
      </c>
      <c r="N8" s="35">
        <f>M8-Budget!$G8</f>
        <v>0</v>
      </c>
    </row>
    <row r="9" spans="1:14">
      <c r="A9" s="24" t="str">
        <f>Budget!A9</f>
        <v>HC03</v>
      </c>
      <c r="B9" s="24" t="str">
        <f>Budget!B9</f>
        <v>Hard Costs</v>
      </c>
      <c r="C9" s="24" t="str">
        <f>Budget!C9</f>
        <v>MEP</v>
      </c>
      <c r="D9" s="35">
        <f>Budget!$G9*Budget!$AM9</f>
        <v>275221.984</v>
      </c>
      <c r="E9" s="35">
        <f>Budget!$G9*Budget!$AN9</f>
        <v>181045.72985800001</v>
      </c>
      <c r="F9" s="35">
        <f>Budget!$G9*Budget!$AO9</f>
        <v>180233.86564599999</v>
      </c>
      <c r="G9" s="35">
        <f>Budget!$G9*Budget!$AP9</f>
        <v>98776.818232000005</v>
      </c>
      <c r="H9" s="35">
        <f>Budget!$G9*Budget!$AQ9</f>
        <v>0</v>
      </c>
      <c r="I9" s="35">
        <f>Budget!$G9*Budget!$AR9</f>
        <v>0</v>
      </c>
      <c r="J9" s="35">
        <f>Budget!$G9*Budget!$AS9</f>
        <v>0</v>
      </c>
      <c r="K9" s="35">
        <f>Budget!$G9*Budget!$AT9</f>
        <v>0</v>
      </c>
      <c r="L9" s="35">
        <f>Budget!$G9*Budget!$AU9</f>
        <v>103648.00380000001</v>
      </c>
      <c r="M9" s="35">
        <f t="shared" si="0"/>
        <v>838926.40153599996</v>
      </c>
      <c r="N9" s="35">
        <f>M9-Budget!$G9</f>
        <v>0</v>
      </c>
    </row>
    <row r="10" spans="1:14">
      <c r="A10" s="24" t="str">
        <f>Budget!A10</f>
        <v>HC04</v>
      </c>
      <c r="B10" s="24" t="str">
        <f>Budget!B10</f>
        <v>Hard Costs</v>
      </c>
      <c r="C10" s="24" t="str">
        <f>Budget!C10</f>
        <v>Provisional Sum</v>
      </c>
      <c r="D10" s="35">
        <f>Budget!$G10*Budget!$AM10</f>
        <v>25160</v>
      </c>
      <c r="E10" s="35">
        <f>Budget!$G10*Budget!$AN10</f>
        <v>25160</v>
      </c>
      <c r="F10" s="35">
        <f>Budget!$G10*Budget!$AO10</f>
        <v>25160</v>
      </c>
      <c r="G10" s="35">
        <f>Budget!$G10*Budget!$AP10</f>
        <v>25160</v>
      </c>
      <c r="H10" s="35">
        <f>Budget!$G10*Budget!$AQ10</f>
        <v>0</v>
      </c>
      <c r="I10" s="35">
        <f>Budget!$G10*Budget!$AR10</f>
        <v>0</v>
      </c>
      <c r="J10" s="35">
        <f>Budget!$G10*Budget!$AS10</f>
        <v>0</v>
      </c>
      <c r="K10" s="35">
        <f>Budget!$G10*Budget!$AT10</f>
        <v>0</v>
      </c>
      <c r="L10" s="35">
        <f>Budget!$G10*Budget!$AU10</f>
        <v>25160</v>
      </c>
      <c r="M10" s="35">
        <f t="shared" si="0"/>
        <v>125800</v>
      </c>
      <c r="N10" s="35">
        <f>M10-Budget!$G10</f>
        <v>0</v>
      </c>
    </row>
    <row r="11" spans="1:14">
      <c r="A11" s="24" t="str">
        <f>Budget!A11</f>
        <v>HC05</v>
      </c>
      <c r="B11" s="24" t="str">
        <f>Budget!B11</f>
        <v>Hard Costs</v>
      </c>
      <c r="C11" s="24" t="str">
        <f>Budget!C11</f>
        <v>Landscaping</v>
      </c>
      <c r="D11" s="35">
        <f>Budget!$G11*Budget!$AM11</f>
        <v>35000</v>
      </c>
      <c r="E11" s="35">
        <f>Budget!$G11*Budget!$AN11</f>
        <v>35000</v>
      </c>
      <c r="F11" s="35">
        <f>Budget!$G11*Budget!$AO11</f>
        <v>35000</v>
      </c>
      <c r="G11" s="35">
        <f>Budget!$G11*Budget!$AP11</f>
        <v>35000</v>
      </c>
      <c r="H11" s="35">
        <f>Budget!$G11*Budget!$AQ11</f>
        <v>0</v>
      </c>
      <c r="I11" s="35">
        <f>Budget!$G11*Budget!$AR11</f>
        <v>0</v>
      </c>
      <c r="J11" s="35">
        <f>Budget!$G11*Budget!$AS11</f>
        <v>0</v>
      </c>
      <c r="K11" s="35">
        <f>Budget!$G11*Budget!$AT11</f>
        <v>0</v>
      </c>
      <c r="L11" s="35">
        <f>Budget!$G11*Budget!$AU11</f>
        <v>35000</v>
      </c>
      <c r="M11" s="35">
        <f t="shared" si="0"/>
        <v>175000</v>
      </c>
      <c r="N11" s="35">
        <f>M11-Budget!$G11</f>
        <v>0</v>
      </c>
    </row>
    <row r="12" spans="1:14">
      <c r="A12" s="24" t="str">
        <f>Budget!A12</f>
        <v>HC06</v>
      </c>
      <c r="B12" s="24" t="str">
        <f>Budget!B12</f>
        <v>Hard Costs</v>
      </c>
      <c r="C12" s="24" t="str">
        <f>Budget!C12</f>
        <v>Network &amp; Infrastructure upgrade</v>
      </c>
      <c r="D12" s="35">
        <f>Budget!$G12*Budget!$AM12</f>
        <v>152201.73306100001</v>
      </c>
      <c r="E12" s="35">
        <f>Budget!$G12*Budget!$AN12</f>
        <v>86337.819568000006</v>
      </c>
      <c r="F12" s="35">
        <f>Budget!$G12*Budget!$AO12</f>
        <v>110737.323456</v>
      </c>
      <c r="G12" s="35">
        <f>Budget!$G12*Budget!$AP12</f>
        <v>40964.097185999999</v>
      </c>
      <c r="H12" s="35">
        <f>Budget!$G12*Budget!$AQ12</f>
        <v>0</v>
      </c>
      <c r="I12" s="35">
        <f>Budget!$G12*Budget!$AR12</f>
        <v>0</v>
      </c>
      <c r="J12" s="35">
        <f>Budget!$G12*Budget!$AS12</f>
        <v>0</v>
      </c>
      <c r="K12" s="35">
        <f>Budget!$G12*Budget!$AT12</f>
        <v>0</v>
      </c>
      <c r="L12" s="35">
        <f>Budget!$G12*Budget!$AU12</f>
        <v>57459.026728999997</v>
      </c>
      <c r="M12" s="35">
        <f t="shared" si="0"/>
        <v>447699.99999999994</v>
      </c>
      <c r="N12" s="35">
        <f>M12-Budget!$G12</f>
        <v>0</v>
      </c>
    </row>
    <row r="13" spans="1:14">
      <c r="A13" s="24" t="str">
        <f>Budget!A13</f>
        <v>HC07</v>
      </c>
      <c r="B13" s="24" t="str">
        <f>Budget!B13</f>
        <v>Hard Costs</v>
      </c>
      <c r="C13" s="24" t="str">
        <f>Budget!C13</f>
        <v>New Infrastructure</v>
      </c>
      <c r="D13" s="35">
        <f>Budget!$G13*Budget!$AM13</f>
        <v>47536.960701999997</v>
      </c>
      <c r="E13" s="35">
        <f>Budget!$G13*Budget!$AN13</f>
        <v>26965.773999000001</v>
      </c>
      <c r="F13" s="35">
        <f>Budget!$G13*Budget!$AO13</f>
        <v>34586.43793</v>
      </c>
      <c r="G13" s="35">
        <f>Budget!$G13*Budget!$AP13</f>
        <v>12794.260873000001</v>
      </c>
      <c r="H13" s="35">
        <f>Budget!$G13*Budget!$AQ13</f>
        <v>0</v>
      </c>
      <c r="I13" s="35">
        <f>Budget!$G13*Budget!$AR13</f>
        <v>0</v>
      </c>
      <c r="J13" s="35">
        <f>Budget!$G13*Budget!$AS13</f>
        <v>0</v>
      </c>
      <c r="K13" s="35">
        <f>Budget!$G13*Budget!$AT13</f>
        <v>0</v>
      </c>
      <c r="L13" s="35">
        <f>Budget!$G13*Budget!$AU13</f>
        <v>17946.099828999999</v>
      </c>
      <c r="M13" s="35">
        <f t="shared" si="0"/>
        <v>139829.533333</v>
      </c>
      <c r="N13" s="35">
        <f>M13-Budget!$G13</f>
        <v>0</v>
      </c>
    </row>
    <row r="14" spans="1:14">
      <c r="A14" s="24" t="str">
        <f>Budget!A14</f>
        <v>SC01</v>
      </c>
      <c r="B14" s="24" t="str">
        <f>Budget!B14</f>
        <v>Soft Costs</v>
      </c>
      <c r="C14" s="24" t="str">
        <f>Budget!C14</f>
        <v>Architect Cost</v>
      </c>
      <c r="D14" s="35">
        <f>Budget!$G14*Budget!$AM14</f>
        <v>45192.283089046592</v>
      </c>
      <c r="E14" s="35">
        <f>Budget!$G14*Budget!$AN14</f>
        <v>25635.73426373248</v>
      </c>
      <c r="F14" s="35">
        <f>Budget!$G14*Budget!$AO14</f>
        <v>32880.522248209076</v>
      </c>
      <c r="G14" s="35">
        <f>Budget!$G14*Budget!$AP14</f>
        <v>12163.206287260602</v>
      </c>
      <c r="H14" s="35">
        <f>Budget!$G14*Budget!$AQ14</f>
        <v>14405.2249204484</v>
      </c>
      <c r="I14" s="35">
        <f>Budget!$G14*Budget!$AR14</f>
        <v>34731.678538803026</v>
      </c>
      <c r="J14" s="35">
        <f>Budget!$G14*Budget!$AS14</f>
        <v>48093.529343351431</v>
      </c>
      <c r="K14" s="35">
        <f>Budget!$G14*Budget!$AT14</f>
        <v>63441.927930361329</v>
      </c>
      <c r="L14" s="35">
        <f>Budget!$G14*Budget!$AU14</f>
        <v>17060.939778787069</v>
      </c>
      <c r="M14" s="35">
        <f t="shared" si="0"/>
        <v>293605.04639999999</v>
      </c>
      <c r="N14" s="35">
        <f>M14-Budget!$G14</f>
        <v>0</v>
      </c>
    </row>
    <row r="15" spans="1:14">
      <c r="A15" s="24" t="str">
        <f>Budget!A15</f>
        <v>SC02</v>
      </c>
      <c r="B15" s="24" t="str">
        <f>Budget!B15</f>
        <v>Soft Costs</v>
      </c>
      <c r="C15" s="24" t="str">
        <f>Budget!C15</f>
        <v>Interior Designer</v>
      </c>
      <c r="D15" s="35">
        <f>Budget!$G15*Budget!$AM15</f>
        <v>27822.11677583808</v>
      </c>
      <c r="E15" s="35">
        <f>Budget!$G15*Budget!$AN15</f>
        <v>15782.349188124754</v>
      </c>
      <c r="F15" s="35">
        <f>Budget!$G15*Budget!$AO15</f>
        <v>20242.520782534655</v>
      </c>
      <c r="G15" s="35">
        <f>Budget!$G15*Budget!$AP15</f>
        <v>7488.140066435215</v>
      </c>
      <c r="H15" s="35">
        <f>Budget!$G15*Budget!$AQ15</f>
        <v>8868.4134220266369</v>
      </c>
      <c r="I15" s="35">
        <f>Budget!$G15*Budget!$AR15</f>
        <v>21382.164167794715</v>
      </c>
      <c r="J15" s="35">
        <f>Budget!$G15*Budget!$AS15</f>
        <v>29608.236143246097</v>
      </c>
      <c r="K15" s="35">
        <f>Budget!$G15*Budget!$AT15</f>
        <v>39057.303741103242</v>
      </c>
      <c r="L15" s="35">
        <f>Budget!$G15*Budget!$AU15</f>
        <v>10503.374168896607</v>
      </c>
      <c r="M15" s="35">
        <f t="shared" si="0"/>
        <v>180754.61845600003</v>
      </c>
      <c r="N15" s="35">
        <f>M15-Budget!$G15</f>
        <v>0</v>
      </c>
    </row>
    <row r="16" spans="1:14">
      <c r="A16" s="24" t="str">
        <f>Budget!A16</f>
        <v>SC03</v>
      </c>
      <c r="B16" s="24" t="str">
        <f>Budget!B16</f>
        <v>Soft Costs</v>
      </c>
      <c r="C16" s="24" t="str">
        <f>Budget!C16</f>
        <v>Landscape Designer</v>
      </c>
      <c r="D16" s="35">
        <f>Budget!$G16*Budget!$AM16</f>
        <v>4681.1443802134672</v>
      </c>
      <c r="E16" s="35">
        <f>Budget!$G16*Budget!$AN16</f>
        <v>2655.4217928061053</v>
      </c>
      <c r="F16" s="35">
        <f>Budget!$G16*Budget!$AO16</f>
        <v>3405.8574035174947</v>
      </c>
      <c r="G16" s="35">
        <f>Budget!$G16*Budget!$AP16</f>
        <v>1259.8992762723969</v>
      </c>
      <c r="H16" s="35">
        <f>Budget!$G16*Budget!$AQ16</f>
        <v>1492.1339014715982</v>
      </c>
      <c r="I16" s="35">
        <f>Budget!$G16*Budget!$AR16</f>
        <v>3597.6054028282661</v>
      </c>
      <c r="J16" s="35">
        <f>Budget!$G16*Budget!$AS16</f>
        <v>4981.663665158515</v>
      </c>
      <c r="K16" s="35">
        <f>Budget!$G16*Budget!$AT16</f>
        <v>6571.4941600969705</v>
      </c>
      <c r="L16" s="35">
        <f>Budget!$G16*Budget!$AU16</f>
        <v>1767.2203506351857</v>
      </c>
      <c r="M16" s="35">
        <f t="shared" si="0"/>
        <v>30412.440332999999</v>
      </c>
      <c r="N16" s="35">
        <f>M16-Budget!$G16</f>
        <v>0</v>
      </c>
    </row>
    <row r="17" spans="1:14">
      <c r="A17" s="24" t="str">
        <f>Budget!A17</f>
        <v>SC04</v>
      </c>
      <c r="B17" s="24" t="str">
        <f>Budget!B17</f>
        <v>Soft Costs</v>
      </c>
      <c r="C17" s="24" t="str">
        <f>Budget!C17</f>
        <v>Structure Engineer</v>
      </c>
      <c r="D17" s="35">
        <f>Budget!$G17*Budget!$AM17</f>
        <v>5192.3029532850287</v>
      </c>
      <c r="E17" s="35">
        <f>Budget!$G17*Budget!$AN17</f>
        <v>2945.3811498067535</v>
      </c>
      <c r="F17" s="35">
        <f>Budget!$G17*Budget!$AO17</f>
        <v>3777.7607393397975</v>
      </c>
      <c r="G17" s="35">
        <f>Budget!$G17*Budget!$AP17</f>
        <v>1397.4742502457318</v>
      </c>
      <c r="H17" s="35">
        <f>Budget!$G17*Budget!$AQ17</f>
        <v>1655.0677855730626</v>
      </c>
      <c r="I17" s="35">
        <f>Budget!$G17*Budget!$AR17</f>
        <v>3990.4467029080502</v>
      </c>
      <c r="J17" s="35">
        <f>Budget!$G17*Budget!$AS17</f>
        <v>5525.637506548288</v>
      </c>
      <c r="K17" s="35">
        <f>Budget!$G17*Budget!$AT17</f>
        <v>7289.0698862423969</v>
      </c>
      <c r="L17" s="35">
        <f>Budget!$G17*Budget!$AU17</f>
        <v>1960.1923590508954</v>
      </c>
      <c r="M17" s="35">
        <f t="shared" si="0"/>
        <v>33733.333333000002</v>
      </c>
      <c r="N17" s="35">
        <f>M17-Budget!$G17</f>
        <v>0</v>
      </c>
    </row>
    <row r="18" spans="1:14">
      <c r="A18" s="24" t="str">
        <f>Budget!A18</f>
        <v>SC05</v>
      </c>
      <c r="B18" s="24" t="str">
        <f>Budget!B18</f>
        <v>Soft Costs</v>
      </c>
      <c r="C18" s="24" t="str">
        <f>Budget!C18</f>
        <v>MEP Consultant</v>
      </c>
      <c r="D18" s="35">
        <f>Budget!$G18*Budget!$AM18</f>
        <v>1742.7051592195846</v>
      </c>
      <c r="E18" s="35">
        <f>Budget!$G18*Budget!$AN18</f>
        <v>988.56537683127226</v>
      </c>
      <c r="F18" s="35">
        <f>Budget!$G18*Budget!$AO18</f>
        <v>1267.9389453921292</v>
      </c>
      <c r="G18" s="35">
        <f>Budget!$G18*Budget!$AP18</f>
        <v>469.03765201892844</v>
      </c>
      <c r="H18" s="35">
        <f>Budget!$G18*Budget!$AQ18</f>
        <v>555.49439135701709</v>
      </c>
      <c r="I18" s="35">
        <f>Budget!$G18*Budget!$AR18</f>
        <v>1339.3232481453967</v>
      </c>
      <c r="J18" s="35">
        <f>Budget!$G18*Budget!$AS18</f>
        <v>1854.5830390244439</v>
      </c>
      <c r="K18" s="35">
        <f>Budget!$G18*Budget!$AT18</f>
        <v>2446.4481003809851</v>
      </c>
      <c r="L18" s="35">
        <f>Budget!$G18*Budget!$AU18</f>
        <v>657.90408763024323</v>
      </c>
      <c r="M18" s="35">
        <f t="shared" si="0"/>
        <v>11322</v>
      </c>
      <c r="N18" s="35">
        <f>M18-Budget!$G18</f>
        <v>0</v>
      </c>
    </row>
    <row r="19" spans="1:14">
      <c r="A19" s="24" t="str">
        <f>Budget!A19</f>
        <v>SC06</v>
      </c>
      <c r="B19" s="24" t="str">
        <f>Budget!B19</f>
        <v>Soft Costs</v>
      </c>
      <c r="C19" s="24" t="str">
        <f>Budget!C19</f>
        <v>Quantity Surveyor</v>
      </c>
      <c r="D19" s="35">
        <f>Budget!$G19*Budget!$AM19</f>
        <v>14940.188549529901</v>
      </c>
      <c r="E19" s="35">
        <f>Budget!$G19*Budget!$AN19</f>
        <v>8474.9580531512693</v>
      </c>
      <c r="F19" s="35">
        <f>Budget!$G19*Budget!$AO19</f>
        <v>10870.024004481424</v>
      </c>
      <c r="G19" s="35">
        <f>Budget!$G19*Budget!$AP19</f>
        <v>4021.0536595471358</v>
      </c>
      <c r="H19" s="35">
        <f>Budget!$G19*Budget!$AQ19</f>
        <v>4762.2461557391143</v>
      </c>
      <c r="I19" s="35">
        <f>Budget!$G19*Budget!$AR19</f>
        <v>11482.000698857044</v>
      </c>
      <c r="J19" s="35">
        <f>Budget!$G19*Budget!$AS19</f>
        <v>15899.316150641014</v>
      </c>
      <c r="K19" s="35">
        <f>Budget!$G19*Budget!$AT19</f>
        <v>20973.367584852451</v>
      </c>
      <c r="L19" s="35">
        <f>Budget!$G19*Budget!$AU19</f>
        <v>5640.2031432006415</v>
      </c>
      <c r="M19" s="35">
        <f t="shared" si="0"/>
        <v>97063.357999999993</v>
      </c>
      <c r="N19" s="35">
        <f>M19-Budget!$G19</f>
        <v>0</v>
      </c>
    </row>
    <row r="20" spans="1:14">
      <c r="A20" s="24" t="str">
        <f>Budget!A20</f>
        <v>SC07</v>
      </c>
      <c r="B20" s="24" t="str">
        <f>Budget!B20</f>
        <v>Soft Costs</v>
      </c>
      <c r="C20" s="24" t="str">
        <f>Budget!C20</f>
        <v>Notary</v>
      </c>
      <c r="D20" s="35">
        <f>Budget!$G20*Budget!$AM20</f>
        <v>14059.104234227878</v>
      </c>
      <c r="E20" s="35">
        <f>Budget!$G20*Budget!$AN20</f>
        <v>6100.489529279932</v>
      </c>
      <c r="F20" s="35">
        <f>Budget!$G20*Budget!$AO20</f>
        <v>8457.358614619885</v>
      </c>
      <c r="G20" s="35">
        <f>Budget!$G20*Budget!$AP20</f>
        <v>4172.4185614018279</v>
      </c>
      <c r="H20" s="35">
        <f>Budget!$G20*Budget!$AQ20</f>
        <v>4281.8989318176191</v>
      </c>
      <c r="I20" s="35">
        <f>Budget!$G20*Budget!$AR20</f>
        <v>18073.384482806898</v>
      </c>
      <c r="J20" s="35">
        <f>Budget!$G20*Budget!$AS20</f>
        <v>27841.466421015837</v>
      </c>
      <c r="K20" s="35">
        <f>Budget!$G20*Budget!$AT20</f>
        <v>38686.105334980064</v>
      </c>
      <c r="L20" s="35">
        <f>Budget!$G20*Budget!$AU20</f>
        <v>3120.1905568500547</v>
      </c>
      <c r="M20" s="35">
        <f t="shared" si="0"/>
        <v>124792.41666699998</v>
      </c>
      <c r="N20" s="35">
        <f>M20-Budget!$G20</f>
        <v>0</v>
      </c>
    </row>
    <row r="21" spans="1:14">
      <c r="A21" s="24" t="str">
        <f>Budget!A21</f>
        <v>SC08</v>
      </c>
      <c r="B21" s="24" t="str">
        <f>Budget!B21</f>
        <v>Soft Costs</v>
      </c>
      <c r="C21" s="24" t="str">
        <f>Budget!C21</f>
        <v>Tax &amp; legal advice</v>
      </c>
      <c r="D21" s="35">
        <f>Budget!$G21*Budget!$AM21</f>
        <v>4478.4097934758038</v>
      </c>
      <c r="E21" s="35">
        <f>Budget!$G21*Budget!$AN21</f>
        <v>4751.116245978079</v>
      </c>
      <c r="F21" s="35">
        <f>Budget!$G21*Budget!$AO21</f>
        <v>4238.4949831110289</v>
      </c>
      <c r="G21" s="35">
        <f>Budget!$G21*Budget!$AP21</f>
        <v>1279.545655278801</v>
      </c>
      <c r="H21" s="35">
        <f>Budget!$G21*Budget!$AQ21</f>
        <v>0</v>
      </c>
      <c r="I21" s="35">
        <f>Budget!$G21*Budget!$AR21</f>
        <v>0</v>
      </c>
      <c r="J21" s="35">
        <f>Budget!$G21*Budget!$AS21</f>
        <v>0</v>
      </c>
      <c r="K21" s="35">
        <f>Budget!$G21*Budget!$AT21</f>
        <v>0</v>
      </c>
      <c r="L21" s="35">
        <f>Budget!$G21*Budget!$AU21</f>
        <v>3194.4033221562868</v>
      </c>
      <c r="M21" s="35">
        <f t="shared" si="0"/>
        <v>17941.969999999998</v>
      </c>
      <c r="N21" s="35">
        <f>M21-Budget!$G21</f>
        <v>0</v>
      </c>
    </row>
    <row r="22" spans="1:14">
      <c r="A22" s="24" t="str">
        <f>Budget!A22</f>
        <v>SC09</v>
      </c>
      <c r="B22" s="24" t="str">
        <f>Budget!B22</f>
        <v>Soft Costs</v>
      </c>
      <c r="C22" s="24" t="str">
        <f>Budget!C22</f>
        <v>Other professional fees</v>
      </c>
      <c r="D22" s="35">
        <f>Budget!$G22*Budget!$AM22</f>
        <v>6156.8809723355753</v>
      </c>
      <c r="E22" s="35">
        <f>Budget!$G22*Budget!$AN22</f>
        <v>3492.5468179871832</v>
      </c>
      <c r="F22" s="35">
        <f>Budget!$G22*Budget!$AO22</f>
        <v>4479.5581889847354</v>
      </c>
      <c r="G22" s="35">
        <f>Budget!$G22*Budget!$AP22</f>
        <v>1657.0840912168467</v>
      </c>
      <c r="H22" s="35">
        <f>Budget!$G22*Budget!$AQ22</f>
        <v>1962.5309710546446</v>
      </c>
      <c r="I22" s="35">
        <f>Budget!$G22*Budget!$AR22</f>
        <v>4731.7549837321912</v>
      </c>
      <c r="J22" s="35">
        <f>Budget!$G22*Budget!$AS22</f>
        <v>6552.1393358927535</v>
      </c>
      <c r="K22" s="35">
        <f>Budget!$G22*Budget!$AT22</f>
        <v>8643.1658731001062</v>
      </c>
      <c r="L22" s="35">
        <f>Budget!$G22*Budget!$AU22</f>
        <v>2324.3387656959662</v>
      </c>
      <c r="M22" s="35">
        <f t="shared" si="0"/>
        <v>40000.000000000007</v>
      </c>
      <c r="N22" s="35">
        <f>M22-Budget!$G22</f>
        <v>0</v>
      </c>
    </row>
    <row r="23" spans="1:14">
      <c r="A23" s="24" t="str">
        <f>Budget!A23</f>
        <v>SC10</v>
      </c>
      <c r="B23" s="24" t="str">
        <f>Budget!B23</f>
        <v>Soft Costs</v>
      </c>
      <c r="C23" s="24" t="str">
        <f>Budget!C23</f>
        <v>Land Survey</v>
      </c>
      <c r="D23" s="35">
        <f>Budget!$G23*Budget!$AM23</f>
        <v>1266.0699778238088</v>
      </c>
      <c r="E23" s="35">
        <f>Budget!$G23*Budget!$AN23</f>
        <v>549.36975459973189</v>
      </c>
      <c r="F23" s="35">
        <f>Budget!$G23*Budget!$AO23</f>
        <v>761.6138023638357</v>
      </c>
      <c r="G23" s="35">
        <f>Budget!$G23*Budget!$AP23</f>
        <v>375.74043036432312</v>
      </c>
      <c r="H23" s="35">
        <f>Budget!$G23*Budget!$AQ23</f>
        <v>385.59950871207502</v>
      </c>
      <c r="I23" s="35">
        <f>Budget!$G23*Budget!$AR23</f>
        <v>1627.5695172413793</v>
      </c>
      <c r="J23" s="35">
        <f>Budget!$G23*Budget!$AS23</f>
        <v>2507.2183964908004</v>
      </c>
      <c r="K23" s="35">
        <f>Budget!$G23*Budget!$AT23</f>
        <v>3483.8148794931153</v>
      </c>
      <c r="L23" s="35">
        <f>Budget!$G23*Budget!$AU23</f>
        <v>280.98373291092969</v>
      </c>
      <c r="M23" s="35">
        <f t="shared" si="0"/>
        <v>11237.98</v>
      </c>
      <c r="N23" s="35">
        <f>M23-Budget!$G23</f>
        <v>0</v>
      </c>
    </row>
    <row r="24" spans="1:14">
      <c r="A24" s="24" t="str">
        <f>Budget!A24</f>
        <v>SC11</v>
      </c>
      <c r="B24" s="24" t="str">
        <f>Budget!B24</f>
        <v>Soft Costs</v>
      </c>
      <c r="C24" s="24" t="str">
        <f>Budget!C24</f>
        <v>Soil Test</v>
      </c>
      <c r="D24" s="35">
        <f>Budget!$G24*Budget!$AM24</f>
        <v>3475.6262653832091</v>
      </c>
      <c r="E24" s="35">
        <f>Budget!$G24*Budget!$AN24</f>
        <v>1508.1346070427683</v>
      </c>
      <c r="F24" s="35">
        <f>Budget!$G24*Budget!$AO24</f>
        <v>2090.7888046789321</v>
      </c>
      <c r="G24" s="35">
        <f>Budget!$G24*Budget!$AP24</f>
        <v>1031.4858827829901</v>
      </c>
      <c r="H24" s="35">
        <f>Budget!$G24*Budget!$AQ24</f>
        <v>1058.5511100280248</v>
      </c>
      <c r="I24" s="35">
        <f>Budget!$G24*Budget!$AR24</f>
        <v>4468.0179310344829</v>
      </c>
      <c r="J24" s="35">
        <f>Budget!$G24*Budget!$AS24</f>
        <v>6882.8376507859139</v>
      </c>
      <c r="K24" s="35">
        <f>Budget!$G24*Budget!$AT24</f>
        <v>9563.7987717801861</v>
      </c>
      <c r="L24" s="35">
        <f>Budget!$G24*Budget!$AU24</f>
        <v>771.35897648348964</v>
      </c>
      <c r="M24" s="35">
        <f t="shared" si="0"/>
        <v>30850.6</v>
      </c>
      <c r="N24" s="35">
        <f>M24-Budget!$G24</f>
        <v>0</v>
      </c>
    </row>
    <row r="25" spans="1:14">
      <c r="A25" s="24" t="str">
        <f>Budget!A25</f>
        <v>SC12</v>
      </c>
      <c r="B25" s="24" t="str">
        <f>Budget!B25</f>
        <v>Soft Costs</v>
      </c>
      <c r="C25" s="24" t="str">
        <f>Budget!C25</f>
        <v>MEP Engineering</v>
      </c>
      <c r="D25" s="35">
        <f>Budget!$G25*Budget!$AM25</f>
        <v>4681.1443802134672</v>
      </c>
      <c r="E25" s="35">
        <f>Budget!$G25*Budget!$AN25</f>
        <v>2655.4217928061053</v>
      </c>
      <c r="F25" s="35">
        <f>Budget!$G25*Budget!$AO25</f>
        <v>3405.8574035174947</v>
      </c>
      <c r="G25" s="35">
        <f>Budget!$G25*Budget!$AP25</f>
        <v>1259.8992762723969</v>
      </c>
      <c r="H25" s="35">
        <f>Budget!$G25*Budget!$AQ25</f>
        <v>1492.1339014715982</v>
      </c>
      <c r="I25" s="35">
        <f>Budget!$G25*Budget!$AR25</f>
        <v>3597.6054028282661</v>
      </c>
      <c r="J25" s="35">
        <f>Budget!$G25*Budget!$AS25</f>
        <v>4981.663665158515</v>
      </c>
      <c r="K25" s="35">
        <f>Budget!$G25*Budget!$AT25</f>
        <v>6571.4941600969705</v>
      </c>
      <c r="L25" s="35">
        <f>Budget!$G25*Budget!$AU25</f>
        <v>1767.2203506351857</v>
      </c>
      <c r="M25" s="35">
        <f t="shared" si="0"/>
        <v>30412.440332999999</v>
      </c>
      <c r="N25" s="35">
        <f>M25-Budget!$G25</f>
        <v>0</v>
      </c>
    </row>
    <row r="26" spans="1:14">
      <c r="A26" s="24" t="str">
        <f>Budget!A26</f>
        <v>SC13</v>
      </c>
      <c r="B26" s="24" t="str">
        <f>Budget!B26</f>
        <v>Soft Costs</v>
      </c>
      <c r="C26" s="24" t="str">
        <f>Budget!C26</f>
        <v>Sitegrid / Other QS</v>
      </c>
      <c r="D26" s="35">
        <f>Budget!$G26*Budget!$AM26</f>
        <v>0</v>
      </c>
      <c r="E26" s="35">
        <f>Budget!$G26*Budget!$AN26</f>
        <v>0</v>
      </c>
      <c r="F26" s="35">
        <f>Budget!$G26*Budget!$AO26</f>
        <v>0</v>
      </c>
      <c r="G26" s="35">
        <f>Budget!$G26*Budget!$AP26</f>
        <v>0</v>
      </c>
      <c r="H26" s="35">
        <f>Budget!$G26*Budget!$AQ26</f>
        <v>0</v>
      </c>
      <c r="I26" s="35">
        <f>Budget!$G26*Budget!$AR26</f>
        <v>0</v>
      </c>
      <c r="J26" s="35">
        <f>Budget!$G26*Budget!$AS26</f>
        <v>0</v>
      </c>
      <c r="K26" s="35">
        <f>Budget!$G26*Budget!$AT26</f>
        <v>0</v>
      </c>
      <c r="L26" s="35">
        <f>Budget!$G26*Budget!$AU26</f>
        <v>0</v>
      </c>
      <c r="M26" s="35">
        <f t="shared" si="0"/>
        <v>0</v>
      </c>
      <c r="N26" s="35">
        <f>M26-Budget!$G26</f>
        <v>0</v>
      </c>
    </row>
    <row r="27" spans="1:14">
      <c r="A27" s="24" t="str">
        <f>Budget!A27</f>
        <v>PM01</v>
      </c>
      <c r="B27" s="24" t="str">
        <f>Budget!B27</f>
        <v>Project Management</v>
      </c>
      <c r="C27" s="24" t="str">
        <f>Budget!C27</f>
        <v>Staff</v>
      </c>
      <c r="D27" s="35">
        <f>Budget!$G27*Budget!$AM27</f>
        <v>42902.956772922924</v>
      </c>
      <c r="E27" s="35">
        <f>Budget!$G27*Budget!$AN27</f>
        <v>24337.0930561733</v>
      </c>
      <c r="F27" s="35">
        <f>Budget!$G27*Budget!$AO27</f>
        <v>31214.878476187318</v>
      </c>
      <c r="G27" s="35">
        <f>Budget!$G27*Budget!$AP27</f>
        <v>11547.049139656445</v>
      </c>
      <c r="H27" s="35">
        <f>Budget!$G27*Budget!$AQ27</f>
        <v>0</v>
      </c>
      <c r="I27" s="35">
        <f>Budget!$G27*Budget!$AR27</f>
        <v>0</v>
      </c>
      <c r="J27" s="35">
        <f>Budget!$G27*Budget!$AS27</f>
        <v>0</v>
      </c>
      <c r="K27" s="35">
        <f>Budget!$G27*Budget!$AT27</f>
        <v>0</v>
      </c>
      <c r="L27" s="35">
        <f>Budget!$G27*Budget!$AU27</f>
        <v>16196.675888060006</v>
      </c>
      <c r="M27" s="35">
        <f t="shared" si="0"/>
        <v>126198.65333299999</v>
      </c>
      <c r="N27" s="35">
        <f>M27-Budget!$G27</f>
        <v>0</v>
      </c>
    </row>
    <row r="28" spans="1:14">
      <c r="A28" s="24" t="str">
        <f>Budget!A28</f>
        <v>PM02</v>
      </c>
      <c r="B28" s="24" t="str">
        <f>Budget!B28</f>
        <v>Project Management</v>
      </c>
      <c r="C28" s="24" t="str">
        <f>Budget!C28</f>
        <v>A&amp;G Allocation</v>
      </c>
      <c r="D28" s="35">
        <f>Budget!$G28*Budget!$AM28</f>
        <v>308517.02647484984</v>
      </c>
      <c r="E28" s="35">
        <f>Budget!$G28*Budget!$AN28</f>
        <v>175009.09371987704</v>
      </c>
      <c r="F28" s="35">
        <f>Budget!$G28*Budget!$AO28</f>
        <v>224467.54754499876</v>
      </c>
      <c r="G28" s="35">
        <f>Budget!$G28*Budget!$AP28</f>
        <v>83035.3321329623</v>
      </c>
      <c r="H28" s="35">
        <f>Budget!$G28*Budget!$AQ28</f>
        <v>0</v>
      </c>
      <c r="I28" s="35">
        <f>Budget!$G28*Budget!$AR28</f>
        <v>0</v>
      </c>
      <c r="J28" s="35">
        <f>Budget!$G28*Budget!$AS28</f>
        <v>0</v>
      </c>
      <c r="K28" s="35">
        <f>Budget!$G28*Budget!$AT28</f>
        <v>0</v>
      </c>
      <c r="L28" s="35">
        <f>Budget!$G28*Budget!$AU28</f>
        <v>116471.00012731209</v>
      </c>
      <c r="M28" s="35">
        <f t="shared" si="0"/>
        <v>907500</v>
      </c>
      <c r="N28" s="35">
        <f>M28-Budget!$G28</f>
        <v>0</v>
      </c>
    </row>
    <row r="29" spans="1:14">
      <c r="A29" s="24" t="str">
        <f>Budget!A29</f>
        <v>PM03</v>
      </c>
      <c r="B29" s="24" t="str">
        <f>Budget!B29</f>
        <v>Project Management</v>
      </c>
      <c r="C29" s="24" t="str">
        <f>Budget!C29</f>
        <v>Project Management</v>
      </c>
      <c r="D29" s="35">
        <f>Budget!$G29*Budget!$AM29</f>
        <v>0</v>
      </c>
      <c r="E29" s="35">
        <f>Budget!$G29*Budget!$AN29</f>
        <v>0</v>
      </c>
      <c r="F29" s="35">
        <f>Budget!$G29*Budget!$AO29</f>
        <v>0</v>
      </c>
      <c r="G29" s="35">
        <f>Budget!$G29*Budget!$AP29</f>
        <v>0</v>
      </c>
      <c r="H29" s="35">
        <f>Budget!$G29*Budget!$AQ29</f>
        <v>0</v>
      </c>
      <c r="I29" s="35">
        <f>Budget!$G29*Budget!$AR29</f>
        <v>0</v>
      </c>
      <c r="J29" s="35">
        <f>Budget!$G29*Budget!$AS29</f>
        <v>0</v>
      </c>
      <c r="K29" s="35">
        <f>Budget!$G29*Budget!$AT29</f>
        <v>0</v>
      </c>
      <c r="L29" s="35">
        <f>Budget!$G29*Budget!$AU29</f>
        <v>0</v>
      </c>
      <c r="M29" s="35">
        <f t="shared" si="0"/>
        <v>0</v>
      </c>
      <c r="N29" s="35">
        <f>M29-Budget!$G29</f>
        <v>0</v>
      </c>
    </row>
    <row r="30" spans="1:14">
      <c r="A30" s="24" t="str">
        <f>Budget!A30</f>
        <v>PM04</v>
      </c>
      <c r="B30" s="24" t="str">
        <f>Budget!B30</f>
        <v>Contingency</v>
      </c>
      <c r="C30" s="24" t="str">
        <f>Budget!C30</f>
        <v>Contingency</v>
      </c>
      <c r="D30" s="35">
        <f>Budget!$G30*Budget!$AM30</f>
        <v>405335.14528953854</v>
      </c>
      <c r="E30" s="35">
        <f>Budget!$G30*Budget!$AN30</f>
        <v>229930.05358723568</v>
      </c>
      <c r="F30" s="35">
        <f>Budget!$G30*Budget!$AO30</f>
        <v>294909.44806689781</v>
      </c>
      <c r="G30" s="35">
        <f>Budget!$G30*Budget!$AP30</f>
        <v>109093.29316067124</v>
      </c>
      <c r="H30" s="35">
        <f>Budget!$G30*Budget!$AQ30</f>
        <v>0</v>
      </c>
      <c r="I30" s="35">
        <f>Budget!$G30*Budget!$AR30</f>
        <v>0</v>
      </c>
      <c r="J30" s="35">
        <f>Budget!$G30*Budget!$AS30</f>
        <v>0</v>
      </c>
      <c r="K30" s="35">
        <f>Budget!$G30*Budget!$AT30</f>
        <v>0</v>
      </c>
      <c r="L30" s="35">
        <f>Budget!$G30*Budget!$AU30</f>
        <v>153021.66722545677</v>
      </c>
      <c r="M30" s="35">
        <f t="shared" si="0"/>
        <v>1192289.6073298</v>
      </c>
      <c r="N30" s="35">
        <f>M30-Budget!$G30</f>
        <v>0</v>
      </c>
    </row>
    <row r="31" spans="1:14">
      <c r="A31" s="24" t="str">
        <f>Budget!A31</f>
        <v>HC08</v>
      </c>
      <c r="B31" s="24" t="str">
        <f>Budget!B31</f>
        <v>Hard Costs</v>
      </c>
      <c r="C31" s="24" t="str">
        <f>Budget!C31</f>
        <v>Interior Cost</v>
      </c>
      <c r="D31" s="35">
        <f>Budget!$G31*Budget!$AM31</f>
        <v>142688</v>
      </c>
      <c r="E31" s="35">
        <f>Budget!$G31*Budget!$AN31</f>
        <v>105074.666667</v>
      </c>
      <c r="F31" s="35">
        <f>Budget!$G31*Budget!$AO31</f>
        <v>141353.33333299999</v>
      </c>
      <c r="G31" s="35">
        <f>Budget!$G31*Budget!$AP31</f>
        <v>77868</v>
      </c>
      <c r="H31" s="35">
        <f>Budget!$G31*Budget!$AQ31</f>
        <v>0</v>
      </c>
      <c r="I31" s="35">
        <f>Budget!$G31*Budget!$AR31</f>
        <v>0</v>
      </c>
      <c r="J31" s="35">
        <f>Budget!$G31*Budget!$AS31</f>
        <v>0</v>
      </c>
      <c r="K31" s="35">
        <f>Budget!$G31*Budget!$AT31</f>
        <v>0</v>
      </c>
      <c r="L31" s="35">
        <f>Budget!$G31*Budget!$AU31</f>
        <v>92829.333333000002</v>
      </c>
      <c r="M31" s="35">
        <f t="shared" si="0"/>
        <v>559813.33333299996</v>
      </c>
      <c r="N31" s="35">
        <f>M31-Budget!$G31</f>
        <v>0</v>
      </c>
    </row>
    <row r="32" spans="1:14">
      <c r="A32" s="24" t="str">
        <f>Budget!A32</f>
        <v>LC01</v>
      </c>
      <c r="B32" s="24" t="str">
        <f>Budget!B32</f>
        <v>Land</v>
      </c>
      <c r="C32" s="24" t="str">
        <f>Budget!C32</f>
        <v>Land Costs</v>
      </c>
      <c r="D32" s="35">
        <f>Budget!$G32*Budget!$AM32</f>
        <v>69345</v>
      </c>
      <c r="E32" s="35">
        <f>Budget!$G32*Budget!$AN32</f>
        <v>30089.999999999996</v>
      </c>
      <c r="F32" s="35">
        <f>Budget!$G32*Budget!$AO32</f>
        <v>41715</v>
      </c>
      <c r="G32" s="35">
        <f>Budget!$G32*Budget!$AP32</f>
        <v>20580</v>
      </c>
      <c r="H32" s="35">
        <f>Budget!$G32*Budget!$AQ32</f>
        <v>0</v>
      </c>
      <c r="I32" s="35">
        <f>Budget!$G32*Budget!$AR32</f>
        <v>0</v>
      </c>
      <c r="J32" s="35">
        <f>Budget!$G32*Budget!$AS32</f>
        <v>0</v>
      </c>
      <c r="K32" s="35">
        <f>Budget!$G32*Budget!$AT32</f>
        <v>0</v>
      </c>
      <c r="L32" s="35">
        <f>Budget!$G32*Budget!$AU32</f>
        <v>15389.999999999998</v>
      </c>
      <c r="M32" s="35">
        <f t="shared" si="0"/>
        <v>177120</v>
      </c>
      <c r="N32" s="35">
        <f>M32-Budget!$G32</f>
        <v>0</v>
      </c>
    </row>
    <row r="33" spans="1:14">
      <c r="A33" s="24" t="str">
        <f>Budget!A33</f>
        <v>TX01</v>
      </c>
      <c r="B33" s="24" t="str">
        <f>Budget!B33</f>
        <v>Income Tax</v>
      </c>
      <c r="C33" s="24" t="str">
        <f>Budget!C33</f>
        <v>Income tax</v>
      </c>
      <c r="D33" s="35">
        <f>Budget!$G33*Budget!$AM33</f>
        <v>70000</v>
      </c>
      <c r="E33" s="35">
        <f>Budget!$G33*Budget!$AN33</f>
        <v>74262.551341989529</v>
      </c>
      <c r="F33" s="35">
        <f>Budget!$G33*Budget!$AO33</f>
        <v>66250.000000000015</v>
      </c>
      <c r="G33" s="35">
        <f>Budget!$G33*Budget!$AP33</f>
        <v>20000</v>
      </c>
      <c r="H33" s="35">
        <f>Budget!$G33*Budget!$AQ33</f>
        <v>0</v>
      </c>
      <c r="I33" s="35">
        <f>Budget!$G33*Budget!$AR33</f>
        <v>0</v>
      </c>
      <c r="J33" s="35">
        <f>Budget!$G33*Budget!$AS33</f>
        <v>0</v>
      </c>
      <c r="K33" s="35">
        <f>Budget!$G33*Budget!$AT33</f>
        <v>0</v>
      </c>
      <c r="L33" s="35">
        <f>Budget!$G33*Budget!$AU33</f>
        <v>49930.275000000001</v>
      </c>
      <c r="M33" s="35">
        <f t="shared" si="0"/>
        <v>280442.82634198957</v>
      </c>
      <c r="N33" s="35">
        <f>M33-Budget!$G33</f>
        <v>0</v>
      </c>
    </row>
    <row r="34" spans="1:14">
      <c r="A34" s="24" t="str">
        <f>Budget!A34</f>
        <v>TX02</v>
      </c>
      <c r="B34" s="24" t="str">
        <f>Budget!B34</f>
        <v>Sales Tax</v>
      </c>
      <c r="C34" s="24" t="str">
        <f>Budget!C34</f>
        <v>Sales VAT</v>
      </c>
      <c r="D34" s="35">
        <f>Budget!$G34*Budget!$AM34</f>
        <v>308000</v>
      </c>
      <c r="E34" s="35">
        <f>Budget!$G34*Budget!$AN34</f>
        <v>326755.2259047539</v>
      </c>
      <c r="F34" s="35">
        <f>Budget!$G34*Budget!$AO34</f>
        <v>291500.00000000006</v>
      </c>
      <c r="G34" s="35">
        <f>Budget!$G34*Budget!$AP34</f>
        <v>88000</v>
      </c>
      <c r="H34" s="35">
        <f>Budget!$G34*Budget!$AQ34</f>
        <v>0</v>
      </c>
      <c r="I34" s="35">
        <f>Budget!$G34*Budget!$AR34</f>
        <v>0</v>
      </c>
      <c r="J34" s="35">
        <f>Budget!$G34*Budget!$AS34</f>
        <v>0</v>
      </c>
      <c r="K34" s="35">
        <f>Budget!$G34*Budget!$AT34</f>
        <v>0</v>
      </c>
      <c r="L34" s="35">
        <f>Budget!$G34*Budget!$AU34</f>
        <v>219693.21000000002</v>
      </c>
      <c r="M34" s="35">
        <f t="shared" si="0"/>
        <v>1233948.4359047539</v>
      </c>
      <c r="N34" s="35">
        <f>M34-Budget!$G34</f>
        <v>0</v>
      </c>
    </row>
    <row r="35" spans="1:14">
      <c r="A35" s="24" t="str">
        <f>Budget!A35</f>
        <v>OC01</v>
      </c>
      <c r="B35" s="24" t="str">
        <f>Budget!B35</f>
        <v>Other Costs</v>
      </c>
      <c r="C35" s="24" t="str">
        <f>Budget!C35</f>
        <v>Bank fees</v>
      </c>
      <c r="D35" s="35">
        <f>Budget!$G35*Budget!$AM35</f>
        <v>0</v>
      </c>
      <c r="E35" s="35">
        <f>Budget!$G35*Budget!$AN35</f>
        <v>0</v>
      </c>
      <c r="F35" s="35">
        <f>Budget!$G35*Budget!$AO35</f>
        <v>0</v>
      </c>
      <c r="G35" s="35">
        <f>Budget!$G35*Budget!$AP35</f>
        <v>0</v>
      </c>
      <c r="H35" s="35">
        <f>Budget!$G35*Budget!$AQ35</f>
        <v>0</v>
      </c>
      <c r="I35" s="35">
        <f>Budget!$G35*Budget!$AR35</f>
        <v>0</v>
      </c>
      <c r="J35" s="35">
        <f>Budget!$G35*Budget!$AS35</f>
        <v>0</v>
      </c>
      <c r="K35" s="35">
        <f>Budget!$G35*Budget!$AT35</f>
        <v>0</v>
      </c>
      <c r="L35" s="35">
        <f>Budget!$G35*Budget!$AU35</f>
        <v>0</v>
      </c>
      <c r="M35" s="35">
        <f t="shared" si="0"/>
        <v>0</v>
      </c>
      <c r="N35" s="35">
        <f>M35-Budget!$G35</f>
        <v>0</v>
      </c>
    </row>
    <row r="36" spans="1:14">
      <c r="A36" s="24" t="str">
        <f>Budget!A36</f>
        <v>OC02</v>
      </c>
      <c r="B36" s="24" t="str">
        <f>Budget!B36</f>
        <v>Other Costs</v>
      </c>
      <c r="C36" s="24" t="str">
        <f>Budget!C36</f>
        <v>Withholding tax</v>
      </c>
      <c r="D36" s="35">
        <f>Budget!$G36*Budget!$AM36</f>
        <v>0</v>
      </c>
      <c r="E36" s="35">
        <f>Budget!$G36*Budget!$AN36</f>
        <v>0</v>
      </c>
      <c r="F36" s="35">
        <f>Budget!$G36*Budget!$AO36</f>
        <v>0</v>
      </c>
      <c r="G36" s="35">
        <f>Budget!$G36*Budget!$AP36</f>
        <v>0</v>
      </c>
      <c r="H36" s="35">
        <f>Budget!$G36*Budget!$AQ36</f>
        <v>0</v>
      </c>
      <c r="I36" s="35">
        <f>Budget!$G36*Budget!$AR36</f>
        <v>0</v>
      </c>
      <c r="J36" s="35">
        <f>Budget!$G36*Budget!$AS36</f>
        <v>0</v>
      </c>
      <c r="K36" s="35">
        <f>Budget!$G36*Budget!$AT36</f>
        <v>0</v>
      </c>
      <c r="L36" s="35">
        <f>Budget!$G36*Budget!$AU36</f>
        <v>0</v>
      </c>
      <c r="M36" s="35">
        <f t="shared" si="0"/>
        <v>0</v>
      </c>
      <c r="N36" s="35">
        <f>M36-Budget!$G36</f>
        <v>0</v>
      </c>
    </row>
    <row r="37" spans="1:14">
      <c r="A37" s="24" t="str">
        <f>Budget!A37</f>
        <v>OC03</v>
      </c>
      <c r="B37" s="24" t="str">
        <f>Budget!B37</f>
        <v>Other Costs</v>
      </c>
      <c r="C37" s="24" t="str">
        <f>Budget!C37</f>
        <v>Miscellaneous</v>
      </c>
      <c r="D37" s="35">
        <f>Budget!$G37*Budget!$AM37</f>
        <v>0</v>
      </c>
      <c r="E37" s="35">
        <f>Budget!$G37*Budget!$AN37</f>
        <v>0</v>
      </c>
      <c r="F37" s="35">
        <f>Budget!$G37*Budget!$AO37</f>
        <v>0</v>
      </c>
      <c r="G37" s="35">
        <f>Budget!$G37*Budget!$AP37</f>
        <v>0</v>
      </c>
      <c r="H37" s="35">
        <f>Budget!$G37*Budget!$AQ37</f>
        <v>0</v>
      </c>
      <c r="I37" s="35">
        <f>Budget!$G37*Budget!$AR37</f>
        <v>0</v>
      </c>
      <c r="J37" s="35">
        <f>Budget!$G37*Budget!$AS37</f>
        <v>0</v>
      </c>
      <c r="K37" s="35">
        <f>Budget!$G37*Budget!$AT37</f>
        <v>0</v>
      </c>
      <c r="L37" s="35">
        <f>Budget!$G37*Budget!$AU37</f>
        <v>0</v>
      </c>
      <c r="M37" s="35">
        <f t="shared" si="0"/>
        <v>0</v>
      </c>
      <c r="N37" s="35">
        <f>M37-Budget!$G37</f>
        <v>0</v>
      </c>
    </row>
    <row r="38" spans="1:14">
      <c r="A38" s="25" t="str">
        <f>Budget!A38</f>
        <v>OC04</v>
      </c>
      <c r="B38" s="25" t="str">
        <f>Budget!B38</f>
        <v>Other Costs</v>
      </c>
      <c r="C38" s="25" t="str">
        <f>Budget!C38</f>
        <v>Unmapped</v>
      </c>
      <c r="D38" s="36">
        <f>Budget!$G38*Budget!$AM38</f>
        <v>0</v>
      </c>
      <c r="E38" s="36">
        <f>Budget!$G38*Budget!$AN38</f>
        <v>0</v>
      </c>
      <c r="F38" s="36">
        <f>Budget!$G38*Budget!$AO38</f>
        <v>0</v>
      </c>
      <c r="G38" s="36">
        <f>Budget!$G38*Budget!$AP38</f>
        <v>0</v>
      </c>
      <c r="H38" s="36">
        <f>Budget!$G38*Budget!$AQ38</f>
        <v>0</v>
      </c>
      <c r="I38" s="36">
        <f>Budget!$G38*Budget!$AR38</f>
        <v>0</v>
      </c>
      <c r="J38" s="36">
        <f>Budget!$G38*Budget!$AS38</f>
        <v>0</v>
      </c>
      <c r="K38" s="36">
        <f>Budget!$G38*Budget!$AT38</f>
        <v>0</v>
      </c>
      <c r="L38" s="36">
        <f>Budget!$G38*Budget!$AU38</f>
        <v>0</v>
      </c>
      <c r="M38" s="36">
        <f t="shared" si="0"/>
        <v>0</v>
      </c>
      <c r="N38" s="36">
        <f>M38-Budget!$G38</f>
        <v>0</v>
      </c>
    </row>
    <row r="39" spans="1:14" ht="13.9">
      <c r="A39" s="175" t="s">
        <v>184</v>
      </c>
      <c r="B39" s="175"/>
      <c r="C39" s="175"/>
      <c r="D39" s="76">
        <f t="shared" ref="D39:N39" si="1">SUM(D7:D38)</f>
        <v>3317224.7503029043</v>
      </c>
      <c r="E39" s="76">
        <f t="shared" si="1"/>
        <v>2251492.9125341764</v>
      </c>
      <c r="F39" s="76">
        <f t="shared" si="1"/>
        <v>2848608.9982558344</v>
      </c>
      <c r="G39" s="76">
        <f t="shared" si="1"/>
        <v>1160350.8676563869</v>
      </c>
      <c r="H39" s="76">
        <f t="shared" si="1"/>
        <v>40919.294999699792</v>
      </c>
      <c r="I39" s="76">
        <f t="shared" si="1"/>
        <v>109021.55107697971</v>
      </c>
      <c r="J39" s="76">
        <f t="shared" si="1"/>
        <v>154728.29131731359</v>
      </c>
      <c r="K39" s="76">
        <f t="shared" si="1"/>
        <v>206727.99042248784</v>
      </c>
      <c r="L39" s="76">
        <f t="shared" si="1"/>
        <v>1391641.9731807613</v>
      </c>
      <c r="M39" s="76">
        <f t="shared" si="1"/>
        <v>11480716.629746547</v>
      </c>
      <c r="N39" s="76">
        <f t="shared" si="1"/>
        <v>0</v>
      </c>
    </row>
    <row r="43" spans="1:14">
      <c r="A43" s="163" t="s">
        <v>185</v>
      </c>
      <c r="B43" s="163" t="s">
        <v>185</v>
      </c>
      <c r="C43" s="163" t="s">
        <v>185</v>
      </c>
      <c r="D43" s="163" t="s">
        <v>185</v>
      </c>
      <c r="E43" s="163" t="s">
        <v>185</v>
      </c>
      <c r="F43" s="163" t="s">
        <v>185</v>
      </c>
      <c r="G43" s="163" t="s">
        <v>185</v>
      </c>
      <c r="H43" s="163" t="s">
        <v>185</v>
      </c>
      <c r="I43" s="163" t="s">
        <v>185</v>
      </c>
      <c r="J43" s="163" t="s">
        <v>185</v>
      </c>
      <c r="K43" s="163" t="s">
        <v>185</v>
      </c>
      <c r="L43" s="163" t="s">
        <v>185</v>
      </c>
      <c r="M43" s="163" t="s">
        <v>185</v>
      </c>
      <c r="N43" s="163" t="s">
        <v>185</v>
      </c>
    </row>
    <row r="44" spans="1:14">
      <c r="A44" s="23" t="str">
        <f>Budget!A7</f>
        <v>HC01</v>
      </c>
      <c r="B44" s="23" t="str">
        <f>Budget!B7</f>
        <v>Hard Costs</v>
      </c>
      <c r="C44" s="23" t="str">
        <f>Budget!C7</f>
        <v>Preliminaries</v>
      </c>
      <c r="D44" s="33">
        <f>Budget!$H7*Budget!$AM7</f>
        <v>0</v>
      </c>
      <c r="E44" s="33">
        <f>Budget!$H7*Budget!$AN7</f>
        <v>0</v>
      </c>
      <c r="F44" s="33">
        <f>Budget!$H7*Budget!$AO7</f>
        <v>0</v>
      </c>
      <c r="G44" s="33">
        <f>Budget!$H7*Budget!$AP7</f>
        <v>0</v>
      </c>
      <c r="H44" s="33">
        <f>Budget!$H7*Budget!$AQ7</f>
        <v>0</v>
      </c>
      <c r="I44" s="33">
        <f>Budget!$H7*Budget!$AR7</f>
        <v>0</v>
      </c>
      <c r="J44" s="33">
        <f>Budget!$H7*Budget!$AS7</f>
        <v>0</v>
      </c>
      <c r="K44" s="33">
        <f>Budget!$H7*Budget!$AT7</f>
        <v>0</v>
      </c>
      <c r="L44" s="33">
        <f>Budget!$H7*Budget!$AU7</f>
        <v>0</v>
      </c>
      <c r="M44" s="33">
        <f t="shared" ref="M44:M75" si="2">SUM(D44:L44)</f>
        <v>0</v>
      </c>
      <c r="N44" s="33">
        <f>M44-Budget!$H7</f>
        <v>0</v>
      </c>
    </row>
    <row r="45" spans="1:14">
      <c r="A45" s="24" t="str">
        <f>Budget!A8</f>
        <v>HC02</v>
      </c>
      <c r="B45" s="24" t="str">
        <f>Budget!B8</f>
        <v>Hard Costs</v>
      </c>
      <c r="C45" s="24" t="str">
        <f>Budget!C8</f>
        <v>Structure &amp; Architecture</v>
      </c>
      <c r="D45" s="35">
        <f>Budget!$H8*Budget!$AM8</f>
        <v>0</v>
      </c>
      <c r="E45" s="35">
        <f>Budget!$H8*Budget!$AN8</f>
        <v>0</v>
      </c>
      <c r="F45" s="35">
        <f>Budget!$H8*Budget!$AO8</f>
        <v>0</v>
      </c>
      <c r="G45" s="35">
        <f>Budget!$H8*Budget!$AP8</f>
        <v>0</v>
      </c>
      <c r="H45" s="35">
        <f>Budget!$H8*Budget!$AQ8</f>
        <v>0</v>
      </c>
      <c r="I45" s="35">
        <f>Budget!$H8*Budget!$AR8</f>
        <v>0</v>
      </c>
      <c r="J45" s="35">
        <f>Budget!$H8*Budget!$AS8</f>
        <v>0</v>
      </c>
      <c r="K45" s="35">
        <f>Budget!$H8*Budget!$AT8</f>
        <v>0</v>
      </c>
      <c r="L45" s="35">
        <f>Budget!$H8*Budget!$AU8</f>
        <v>0</v>
      </c>
      <c r="M45" s="35">
        <f t="shared" si="2"/>
        <v>0</v>
      </c>
      <c r="N45" s="35">
        <f>M45-Budget!$H8</f>
        <v>0</v>
      </c>
    </row>
    <row r="46" spans="1:14">
      <c r="A46" s="24" t="str">
        <f>Budget!A9</f>
        <v>HC03</v>
      </c>
      <c r="B46" s="24" t="str">
        <f>Budget!B9</f>
        <v>Hard Costs</v>
      </c>
      <c r="C46" s="24" t="str">
        <f>Budget!C9</f>
        <v>MEP</v>
      </c>
      <c r="D46" s="35">
        <f>Budget!$H9*Budget!$AM9</f>
        <v>0</v>
      </c>
      <c r="E46" s="35">
        <f>Budget!$H9*Budget!$AN9</f>
        <v>0</v>
      </c>
      <c r="F46" s="35">
        <f>Budget!$H9*Budget!$AO9</f>
        <v>0</v>
      </c>
      <c r="G46" s="35">
        <f>Budget!$H9*Budget!$AP9</f>
        <v>0</v>
      </c>
      <c r="H46" s="35">
        <f>Budget!$H9*Budget!$AQ9</f>
        <v>0</v>
      </c>
      <c r="I46" s="35">
        <f>Budget!$H9*Budget!$AR9</f>
        <v>0</v>
      </c>
      <c r="J46" s="35">
        <f>Budget!$H9*Budget!$AS9</f>
        <v>0</v>
      </c>
      <c r="K46" s="35">
        <f>Budget!$H9*Budget!$AT9</f>
        <v>0</v>
      </c>
      <c r="L46" s="35">
        <f>Budget!$H9*Budget!$AU9</f>
        <v>0</v>
      </c>
      <c r="M46" s="35">
        <f t="shared" si="2"/>
        <v>0</v>
      </c>
      <c r="N46" s="35">
        <f>M46-Budget!$H9</f>
        <v>0</v>
      </c>
    </row>
    <row r="47" spans="1:14">
      <c r="A47" s="24" t="str">
        <f>Budget!A10</f>
        <v>HC04</v>
      </c>
      <c r="B47" s="24" t="str">
        <f>Budget!B10</f>
        <v>Hard Costs</v>
      </c>
      <c r="C47" s="24" t="str">
        <f>Budget!C10</f>
        <v>Provisional Sum</v>
      </c>
      <c r="D47" s="35">
        <f>Budget!$H10*Budget!$AM10</f>
        <v>0</v>
      </c>
      <c r="E47" s="35">
        <f>Budget!$H10*Budget!$AN10</f>
        <v>0</v>
      </c>
      <c r="F47" s="35">
        <f>Budget!$H10*Budget!$AO10</f>
        <v>0</v>
      </c>
      <c r="G47" s="35">
        <f>Budget!$H10*Budget!$AP10</f>
        <v>0</v>
      </c>
      <c r="H47" s="35">
        <f>Budget!$H10*Budget!$AQ10</f>
        <v>0</v>
      </c>
      <c r="I47" s="35">
        <f>Budget!$H10*Budget!$AR10</f>
        <v>0</v>
      </c>
      <c r="J47" s="35">
        <f>Budget!$H10*Budget!$AS10</f>
        <v>0</v>
      </c>
      <c r="K47" s="35">
        <f>Budget!$H10*Budget!$AT10</f>
        <v>0</v>
      </c>
      <c r="L47" s="35">
        <f>Budget!$H10*Budget!$AU10</f>
        <v>0</v>
      </c>
      <c r="M47" s="35">
        <f t="shared" si="2"/>
        <v>0</v>
      </c>
      <c r="N47" s="35">
        <f>M47-Budget!$H10</f>
        <v>0</v>
      </c>
    </row>
    <row r="48" spans="1:14">
      <c r="A48" s="24" t="str">
        <f>Budget!A11</f>
        <v>HC05</v>
      </c>
      <c r="B48" s="24" t="str">
        <f>Budget!B11</f>
        <v>Hard Costs</v>
      </c>
      <c r="C48" s="24" t="str">
        <f>Budget!C11</f>
        <v>Landscaping</v>
      </c>
      <c r="D48" s="35">
        <f>Budget!$H11*Budget!$AM11</f>
        <v>0</v>
      </c>
      <c r="E48" s="35">
        <f>Budget!$H11*Budget!$AN11</f>
        <v>0</v>
      </c>
      <c r="F48" s="35">
        <f>Budget!$H11*Budget!$AO11</f>
        <v>0</v>
      </c>
      <c r="G48" s="35">
        <f>Budget!$H11*Budget!$AP11</f>
        <v>0</v>
      </c>
      <c r="H48" s="35">
        <f>Budget!$H11*Budget!$AQ11</f>
        <v>0</v>
      </c>
      <c r="I48" s="35">
        <f>Budget!$H11*Budget!$AR11</f>
        <v>0</v>
      </c>
      <c r="J48" s="35">
        <f>Budget!$H11*Budget!$AS11</f>
        <v>0</v>
      </c>
      <c r="K48" s="35">
        <f>Budget!$H11*Budget!$AT11</f>
        <v>0</v>
      </c>
      <c r="L48" s="35">
        <f>Budget!$H11*Budget!$AU11</f>
        <v>0</v>
      </c>
      <c r="M48" s="35">
        <f t="shared" si="2"/>
        <v>0</v>
      </c>
      <c r="N48" s="35">
        <f>M48-Budget!$H11</f>
        <v>0</v>
      </c>
    </row>
    <row r="49" spans="1:14">
      <c r="A49" s="24" t="str">
        <f>Budget!A12</f>
        <v>HC06</v>
      </c>
      <c r="B49" s="24" t="str">
        <f>Budget!B12</f>
        <v>Hard Costs</v>
      </c>
      <c r="C49" s="24" t="str">
        <f>Budget!C12</f>
        <v>Network &amp; Infrastructure upgrade</v>
      </c>
      <c r="D49" s="35">
        <f>Budget!$H12*Budget!$AM12</f>
        <v>0</v>
      </c>
      <c r="E49" s="35">
        <f>Budget!$H12*Budget!$AN12</f>
        <v>0</v>
      </c>
      <c r="F49" s="35">
        <f>Budget!$H12*Budget!$AO12</f>
        <v>0</v>
      </c>
      <c r="G49" s="35">
        <f>Budget!$H12*Budget!$AP12</f>
        <v>0</v>
      </c>
      <c r="H49" s="35">
        <f>Budget!$H12*Budget!$AQ12</f>
        <v>0</v>
      </c>
      <c r="I49" s="35">
        <f>Budget!$H12*Budget!$AR12</f>
        <v>0</v>
      </c>
      <c r="J49" s="35">
        <f>Budget!$H12*Budget!$AS12</f>
        <v>0</v>
      </c>
      <c r="K49" s="35">
        <f>Budget!$H12*Budget!$AT12</f>
        <v>0</v>
      </c>
      <c r="L49" s="35">
        <f>Budget!$H12*Budget!$AU12</f>
        <v>0</v>
      </c>
      <c r="M49" s="35">
        <f t="shared" si="2"/>
        <v>0</v>
      </c>
      <c r="N49" s="35">
        <f>M49-Budget!$H12</f>
        <v>0</v>
      </c>
    </row>
    <row r="50" spans="1:14">
      <c r="A50" s="24" t="str">
        <f>Budget!A13</f>
        <v>HC07</v>
      </c>
      <c r="B50" s="24" t="str">
        <f>Budget!B13</f>
        <v>Hard Costs</v>
      </c>
      <c r="C50" s="24" t="str">
        <f>Budget!C13</f>
        <v>New Infrastructure</v>
      </c>
      <c r="D50" s="35">
        <f>Budget!$H13*Budget!$AM13</f>
        <v>0</v>
      </c>
      <c r="E50" s="35">
        <f>Budget!$H13*Budget!$AN13</f>
        <v>0</v>
      </c>
      <c r="F50" s="35">
        <f>Budget!$H13*Budget!$AO13</f>
        <v>0</v>
      </c>
      <c r="G50" s="35">
        <f>Budget!$H13*Budget!$AP13</f>
        <v>0</v>
      </c>
      <c r="H50" s="35">
        <f>Budget!$H13*Budget!$AQ13</f>
        <v>0</v>
      </c>
      <c r="I50" s="35">
        <f>Budget!$H13*Budget!$AR13</f>
        <v>0</v>
      </c>
      <c r="J50" s="35">
        <f>Budget!$H13*Budget!$AS13</f>
        <v>0</v>
      </c>
      <c r="K50" s="35">
        <f>Budget!$H13*Budget!$AT13</f>
        <v>0</v>
      </c>
      <c r="L50" s="35">
        <f>Budget!$H13*Budget!$AU13</f>
        <v>0</v>
      </c>
      <c r="M50" s="35">
        <f t="shared" si="2"/>
        <v>0</v>
      </c>
      <c r="N50" s="35">
        <f>M50-Budget!$H13</f>
        <v>0</v>
      </c>
    </row>
    <row r="51" spans="1:14">
      <c r="A51" s="24" t="str">
        <f>Budget!A14</f>
        <v>SC01</v>
      </c>
      <c r="B51" s="24" t="str">
        <f>Budget!B14</f>
        <v>Soft Costs</v>
      </c>
      <c r="C51" s="24" t="str">
        <f>Budget!C14</f>
        <v>Architect Cost</v>
      </c>
      <c r="D51" s="35">
        <f>Budget!$H14*Budget!$AM14</f>
        <v>34366.48708791846</v>
      </c>
      <c r="E51" s="35">
        <f>Budget!$H14*Budget!$AN14</f>
        <v>19494.702863936622</v>
      </c>
      <c r="F51" s="35">
        <f>Budget!$H14*Budget!$AO14</f>
        <v>25004.004357570771</v>
      </c>
      <c r="G51" s="35">
        <f>Budget!$H14*Budget!$AP14</f>
        <v>9249.5143694155122</v>
      </c>
      <c r="H51" s="35">
        <f>Budget!$H14*Budget!$AQ14</f>
        <v>10954.458203664859</v>
      </c>
      <c r="I51" s="35">
        <f>Budget!$H14*Budget!$AR14</f>
        <v>26411.71679009081</v>
      </c>
      <c r="J51" s="35">
        <f>Budget!$H14*Budget!$AS14</f>
        <v>36572.740791476201</v>
      </c>
      <c r="K51" s="35">
        <f>Budget!$H14*Budget!$AT14</f>
        <v>48244.435731547645</v>
      </c>
      <c r="L51" s="35">
        <f>Budget!$H14*Budget!$AU14</f>
        <v>12973.997473421512</v>
      </c>
      <c r="M51" s="35">
        <f t="shared" si="2"/>
        <v>223272.05766904238</v>
      </c>
      <c r="N51" s="35">
        <f>M51-Budget!$H14</f>
        <v>0</v>
      </c>
    </row>
    <row r="52" spans="1:14">
      <c r="A52" s="24" t="str">
        <f>Budget!A15</f>
        <v>SC02</v>
      </c>
      <c r="B52" s="24" t="str">
        <f>Budget!B15</f>
        <v>Soft Costs</v>
      </c>
      <c r="C52" s="24" t="str">
        <f>Budget!C15</f>
        <v>Interior Designer</v>
      </c>
      <c r="D52" s="35">
        <f>Budget!$H15*Budget!$AM15</f>
        <v>7611.0258392016967</v>
      </c>
      <c r="E52" s="35">
        <f>Budget!$H15*Budget!$AN15</f>
        <v>4317.4237403258503</v>
      </c>
      <c r="F52" s="35">
        <f>Budget!$H15*Budget!$AO15</f>
        <v>5537.5494958833051</v>
      </c>
      <c r="G52" s="35">
        <f>Budget!$H15*Budget!$AP15</f>
        <v>2048.4576350673146</v>
      </c>
      <c r="H52" s="35">
        <f>Budget!$H15*Budget!$AQ15</f>
        <v>2426.0455899741528</v>
      </c>
      <c r="I52" s="35">
        <f>Budget!$H15*Budget!$AR15</f>
        <v>5849.3106505996984</v>
      </c>
      <c r="J52" s="35">
        <f>Budget!$H15*Budget!$AS15</f>
        <v>8099.6371395843762</v>
      </c>
      <c r="K52" s="35">
        <f>Budget!$H15*Budget!$AT15</f>
        <v>10684.526643969972</v>
      </c>
      <c r="L52" s="35">
        <f>Budget!$H15*Budget!$AU15</f>
        <v>2873.3058969725953</v>
      </c>
      <c r="M52" s="35">
        <f t="shared" si="2"/>
        <v>49447.282631578964</v>
      </c>
      <c r="N52" s="35">
        <f>M52-Budget!$H15</f>
        <v>0</v>
      </c>
    </row>
    <row r="53" spans="1:14">
      <c r="A53" s="24" t="str">
        <f>Budget!A16</f>
        <v>SC03</v>
      </c>
      <c r="B53" s="24" t="str">
        <f>Budget!B16</f>
        <v>Soft Costs</v>
      </c>
      <c r="C53" s="24" t="str">
        <f>Budget!C16</f>
        <v>Landscape Designer</v>
      </c>
      <c r="D53" s="35">
        <f>Budget!$H16*Budget!$AM16</f>
        <v>0</v>
      </c>
      <c r="E53" s="35">
        <f>Budget!$H16*Budget!$AN16</f>
        <v>0</v>
      </c>
      <c r="F53" s="35">
        <f>Budget!$H16*Budget!$AO16</f>
        <v>0</v>
      </c>
      <c r="G53" s="35">
        <f>Budget!$H16*Budget!$AP16</f>
        <v>0</v>
      </c>
      <c r="H53" s="35">
        <f>Budget!$H16*Budget!$AQ16</f>
        <v>0</v>
      </c>
      <c r="I53" s="35">
        <f>Budget!$H16*Budget!$AR16</f>
        <v>0</v>
      </c>
      <c r="J53" s="35">
        <f>Budget!$H16*Budget!$AS16</f>
        <v>0</v>
      </c>
      <c r="K53" s="35">
        <f>Budget!$H16*Budget!$AT16</f>
        <v>0</v>
      </c>
      <c r="L53" s="35">
        <f>Budget!$H16*Budget!$AU16</f>
        <v>0</v>
      </c>
      <c r="M53" s="35">
        <f t="shared" si="2"/>
        <v>0</v>
      </c>
      <c r="N53" s="35">
        <f>M53-Budget!$H16</f>
        <v>0</v>
      </c>
    </row>
    <row r="54" spans="1:14">
      <c r="A54" s="24" t="str">
        <f>Budget!A17</f>
        <v>SC04</v>
      </c>
      <c r="B54" s="24" t="str">
        <f>Budget!B17</f>
        <v>Soft Costs</v>
      </c>
      <c r="C54" s="24" t="str">
        <f>Budget!C17</f>
        <v>Structure Engineer</v>
      </c>
      <c r="D54" s="35">
        <f>Budget!$H17*Budget!$AM17</f>
        <v>2308.717364859071</v>
      </c>
      <c r="E54" s="35">
        <f>Budget!$H17*Budget!$AN17</f>
        <v>1309.6409565981164</v>
      </c>
      <c r="F54" s="35">
        <f>Budget!$H17*Budget!$AO17</f>
        <v>1679.7521056968758</v>
      </c>
      <c r="G54" s="35">
        <f>Budget!$H17*Budget!$AP17</f>
        <v>621.37612106098197</v>
      </c>
      <c r="H54" s="35">
        <f>Budget!$H17*Budget!$AQ17</f>
        <v>735.91309500804152</v>
      </c>
      <c r="I54" s="35">
        <f>Budget!$H17*Budget!$AR17</f>
        <v>1774.3212750557527</v>
      </c>
      <c r="J54" s="35">
        <f>Budget!$H17*Budget!$AS17</f>
        <v>2456.931996853828</v>
      </c>
      <c r="K54" s="35">
        <f>Budget!$H17*Budget!$AT17</f>
        <v>3241.0285708372016</v>
      </c>
      <c r="L54" s="35">
        <f>Budget!$H17*Budget!$AU17</f>
        <v>871.58437759139031</v>
      </c>
      <c r="M54" s="35">
        <f t="shared" si="2"/>
        <v>14999.265863561259</v>
      </c>
      <c r="N54" s="35">
        <f>M54-Budget!$H17</f>
        <v>0</v>
      </c>
    </row>
    <row r="55" spans="1:14">
      <c r="A55" s="24" t="str">
        <f>Budget!A18</f>
        <v>SC05</v>
      </c>
      <c r="B55" s="24" t="str">
        <f>Budget!B18</f>
        <v>Soft Costs</v>
      </c>
      <c r="C55" s="24" t="str">
        <f>Budget!C18</f>
        <v>MEP Consultant</v>
      </c>
      <c r="D55" s="35">
        <f>Budget!$H18*Budget!$AM18</f>
        <v>1204.6830370115542</v>
      </c>
      <c r="E55" s="35">
        <f>Budget!$H18*Budget!$AN18</f>
        <v>683.36742686805326</v>
      </c>
      <c r="F55" s="35">
        <f>Budget!$H18*Budget!$AO18</f>
        <v>876.49051326860376</v>
      </c>
      <c r="G55" s="35">
        <f>Budget!$H18*Budget!$AP18</f>
        <v>324.23253016589871</v>
      </c>
      <c r="H55" s="35">
        <f>Budget!$H18*Budget!$AQ18</f>
        <v>383.99764118592151</v>
      </c>
      <c r="I55" s="35">
        <f>Budget!$H18*Budget!$AR18</f>
        <v>925.83647301446729</v>
      </c>
      <c r="J55" s="35">
        <f>Budget!$H18*Budget!$AS18</f>
        <v>1282.0210670877877</v>
      </c>
      <c r="K55" s="35">
        <f>Budget!$H18*Budget!$AT18</f>
        <v>1691.1607289771957</v>
      </c>
      <c r="L55" s="35">
        <f>Budget!$H18*Budget!$AU18</f>
        <v>454.79058242051832</v>
      </c>
      <c r="M55" s="35">
        <f t="shared" si="2"/>
        <v>7826.58</v>
      </c>
      <c r="N55" s="35">
        <f>M55-Budget!$H18</f>
        <v>0</v>
      </c>
    </row>
    <row r="56" spans="1:14">
      <c r="A56" s="24" t="str">
        <f>Budget!A19</f>
        <v>SC06</v>
      </c>
      <c r="B56" s="24" t="str">
        <f>Budget!B19</f>
        <v>Soft Costs</v>
      </c>
      <c r="C56" s="24" t="str">
        <f>Budget!C19</f>
        <v>Quantity Surveyor</v>
      </c>
      <c r="D56" s="35">
        <f>Budget!$H19*Budget!$AM19</f>
        <v>2286.003369269516</v>
      </c>
      <c r="E56" s="35">
        <f>Budget!$H19*Budget!$AN19</f>
        <v>1296.7562356856083</v>
      </c>
      <c r="F56" s="35">
        <f>Budget!$H19*Budget!$AO19</f>
        <v>1663.2260975760535</v>
      </c>
      <c r="G56" s="35">
        <f>Budget!$H19*Budget!$AP19</f>
        <v>615.26279827489225</v>
      </c>
      <c r="H56" s="35">
        <f>Budget!$H19*Budget!$AQ19</f>
        <v>728.67291608933317</v>
      </c>
      <c r="I56" s="35">
        <f>Budget!$H19*Budget!$AR19</f>
        <v>1756.8648612783434</v>
      </c>
      <c r="J56" s="35">
        <f>Budget!$H19*Budget!$AS19</f>
        <v>2432.7598121638316</v>
      </c>
      <c r="K56" s="35">
        <f>Budget!$H19*Budget!$AT19</f>
        <v>3209.1421607533443</v>
      </c>
      <c r="L56" s="35">
        <f>Budget!$H19*Budget!$AU19</f>
        <v>863.00941557574129</v>
      </c>
      <c r="M56" s="35">
        <f t="shared" si="2"/>
        <v>14851.697666666663</v>
      </c>
      <c r="N56" s="35">
        <f>M56-Budget!$H19</f>
        <v>0</v>
      </c>
    </row>
    <row r="57" spans="1:14">
      <c r="A57" s="24" t="str">
        <f>Budget!A20</f>
        <v>SC07</v>
      </c>
      <c r="B57" s="24" t="str">
        <f>Budget!B20</f>
        <v>Soft Costs</v>
      </c>
      <c r="C57" s="24" t="str">
        <f>Budget!C20</f>
        <v>Notary</v>
      </c>
      <c r="D57" s="35">
        <f>Budget!$H20*Budget!$AM20</f>
        <v>3323.9254685463197</v>
      </c>
      <c r="E57" s="35">
        <f>Budget!$H20*Budget!$AN20</f>
        <v>1442.3089963019506</v>
      </c>
      <c r="F57" s="35">
        <f>Budget!$H20*Budget!$AO20</f>
        <v>1999.5320631683571</v>
      </c>
      <c r="G57" s="35">
        <f>Budget!$H20*Budget!$AP20</f>
        <v>986.46457772994836</v>
      </c>
      <c r="H57" s="35">
        <f>Budget!$H20*Budget!$AQ20</f>
        <v>1012.3484879327749</v>
      </c>
      <c r="I57" s="35">
        <f>Budget!$H20*Budget!$AR20</f>
        <v>4273.0021759832971</v>
      </c>
      <c r="J57" s="35">
        <f>Budget!$H20*Budget!$AS20</f>
        <v>6582.4221640799387</v>
      </c>
      <c r="K57" s="35">
        <f>Budget!$H20*Budget!$AT20</f>
        <v>9146.3672691710435</v>
      </c>
      <c r="L57" s="35">
        <f>Budget!$H20*Budget!$AU20</f>
        <v>737.69144078055899</v>
      </c>
      <c r="M57" s="35">
        <f t="shared" si="2"/>
        <v>29504.062643694189</v>
      </c>
      <c r="N57" s="35">
        <f>M57-Budget!$H20</f>
        <v>0</v>
      </c>
    </row>
    <row r="58" spans="1:14">
      <c r="A58" s="24" t="str">
        <f>Budget!A21</f>
        <v>SC08</v>
      </c>
      <c r="B58" s="24" t="str">
        <f>Budget!B21</f>
        <v>Soft Costs</v>
      </c>
      <c r="C58" s="24" t="str">
        <f>Budget!C21</f>
        <v>Tax &amp; legal advice</v>
      </c>
      <c r="D58" s="35">
        <f>Budget!$H21*Budget!$AM21</f>
        <v>4597.0787939305737</v>
      </c>
      <c r="E58" s="35">
        <f>Budget!$H21*Budget!$AN21</f>
        <v>4877.0114279634354</v>
      </c>
      <c r="F58" s="35">
        <f>Budget!$H21*Budget!$AO21</f>
        <v>4350.8067156842935</v>
      </c>
      <c r="G58" s="35">
        <f>Budget!$H21*Budget!$AP21</f>
        <v>1313.451083980164</v>
      </c>
      <c r="H58" s="35">
        <f>Budget!$H21*Budget!$AQ21</f>
        <v>0</v>
      </c>
      <c r="I58" s="35">
        <f>Budget!$H21*Budget!$AR21</f>
        <v>0</v>
      </c>
      <c r="J58" s="35">
        <f>Budget!$H21*Budget!$AS21</f>
        <v>0</v>
      </c>
      <c r="K58" s="35">
        <f>Budget!$H21*Budget!$AT21</f>
        <v>0</v>
      </c>
      <c r="L58" s="35">
        <f>Budget!$H21*Budget!$AU21</f>
        <v>3279.0486911088838</v>
      </c>
      <c r="M58" s="35">
        <f t="shared" si="2"/>
        <v>18417.396712667352</v>
      </c>
      <c r="N58" s="35">
        <f>M58-Budget!$H21</f>
        <v>0</v>
      </c>
    </row>
    <row r="59" spans="1:14">
      <c r="A59" s="24" t="str">
        <f>Budget!A22</f>
        <v>SC09</v>
      </c>
      <c r="B59" s="24" t="str">
        <f>Budget!B22</f>
        <v>Soft Costs</v>
      </c>
      <c r="C59" s="24" t="str">
        <f>Budget!C22</f>
        <v>Other professional fees</v>
      </c>
      <c r="D59" s="35">
        <f>Budget!$H22*Budget!$AM22</f>
        <v>6156.8809723355753</v>
      </c>
      <c r="E59" s="35">
        <f>Budget!$H22*Budget!$AN22</f>
        <v>3492.5468179871832</v>
      </c>
      <c r="F59" s="35">
        <f>Budget!$H22*Budget!$AO22</f>
        <v>4479.5581889847354</v>
      </c>
      <c r="G59" s="35">
        <f>Budget!$H22*Budget!$AP22</f>
        <v>1657.0840912168467</v>
      </c>
      <c r="H59" s="35">
        <f>Budget!$H22*Budget!$AQ22</f>
        <v>1962.5309710546446</v>
      </c>
      <c r="I59" s="35">
        <f>Budget!$H22*Budget!$AR22</f>
        <v>4731.7549837321912</v>
      </c>
      <c r="J59" s="35">
        <f>Budget!$H22*Budget!$AS22</f>
        <v>6552.1393358927535</v>
      </c>
      <c r="K59" s="35">
        <f>Budget!$H22*Budget!$AT22</f>
        <v>8643.1658731001062</v>
      </c>
      <c r="L59" s="35">
        <f>Budget!$H22*Budget!$AU22</f>
        <v>2324.3387656959662</v>
      </c>
      <c r="M59" s="35">
        <f t="shared" si="2"/>
        <v>40000.000000000007</v>
      </c>
      <c r="N59" s="35">
        <f>M59-Budget!$H22</f>
        <v>0</v>
      </c>
    </row>
    <row r="60" spans="1:14">
      <c r="A60" s="24" t="str">
        <f>Budget!A23</f>
        <v>SC10</v>
      </c>
      <c r="B60" s="24" t="str">
        <f>Budget!B23</f>
        <v>Soft Costs</v>
      </c>
      <c r="C60" s="24" t="str">
        <f>Budget!C23</f>
        <v>Land Survey</v>
      </c>
      <c r="D60" s="35">
        <f>Budget!$H23*Budget!$AM23</f>
        <v>30.793712684293894</v>
      </c>
      <c r="E60" s="35">
        <f>Budget!$H23*Budget!$AN23</f>
        <v>13.361926810446366</v>
      </c>
      <c r="F60" s="35">
        <f>Budget!$H23*Budget!$AO23</f>
        <v>18.524186669915924</v>
      </c>
      <c r="G60" s="35">
        <f>Budget!$H23*Budget!$AP23</f>
        <v>9.1388651963770755</v>
      </c>
      <c r="H60" s="35">
        <f>Budget!$H23*Budget!$AQ23</f>
        <v>9.3786604930750155</v>
      </c>
      <c r="I60" s="35">
        <f>Budget!$H23*Budget!$AR23</f>
        <v>39.586206896551722</v>
      </c>
      <c r="J60" s="35">
        <f>Budget!$H23*Budget!$AS23</f>
        <v>60.981276146379102</v>
      </c>
      <c r="K60" s="35">
        <f>Budget!$H23*Budget!$AT23</f>
        <v>84.734332480402898</v>
      </c>
      <c r="L60" s="35">
        <f>Budget!$H23*Budget!$AU23</f>
        <v>6.8341659558913115</v>
      </c>
      <c r="M60" s="35">
        <f t="shared" si="2"/>
        <v>273.33333333333326</v>
      </c>
      <c r="N60" s="35">
        <f>M60-Budget!$H23</f>
        <v>0</v>
      </c>
    </row>
    <row r="61" spans="1:14">
      <c r="A61" s="24" t="str">
        <f>Budget!A24</f>
        <v>SC11</v>
      </c>
      <c r="B61" s="24" t="str">
        <f>Budget!B24</f>
        <v>Soft Costs</v>
      </c>
      <c r="C61" s="24" t="str">
        <f>Budget!C24</f>
        <v>Soil Test</v>
      </c>
      <c r="D61" s="35">
        <f>Budget!$H24*Budget!$AM24</f>
        <v>1365.3108283553265</v>
      </c>
      <c r="E61" s="35">
        <f>Budget!$H24*Budget!$AN24</f>
        <v>592.43208342651633</v>
      </c>
      <c r="F61" s="35">
        <f>Budget!$H24*Budget!$AO24</f>
        <v>821.31287338441768</v>
      </c>
      <c r="G61" s="35">
        <f>Budget!$H24*Budget!$AP24</f>
        <v>405.19283073837511</v>
      </c>
      <c r="H61" s="35">
        <f>Budget!$H24*Budget!$AQ24</f>
        <v>415.82471259448403</v>
      </c>
      <c r="I61" s="35">
        <f>Budget!$H24*Budget!$AR24</f>
        <v>1755.1464964126556</v>
      </c>
      <c r="J61" s="35">
        <f>Budget!$H24*Budget!$AS24</f>
        <v>2703.7466220188221</v>
      </c>
      <c r="K61" s="35">
        <f>Budget!$H24*Budget!$AT24</f>
        <v>3756.8935858767268</v>
      </c>
      <c r="L61" s="35">
        <f>Budget!$H24*Budget!$AU24</f>
        <v>303.00863289910558</v>
      </c>
      <c r="M61" s="35">
        <f t="shared" si="2"/>
        <v>12118.86866570643</v>
      </c>
      <c r="N61" s="35">
        <f>M61-Budget!$H24</f>
        <v>0</v>
      </c>
    </row>
    <row r="62" spans="1:14">
      <c r="A62" s="24" t="str">
        <f>Budget!A25</f>
        <v>SC12</v>
      </c>
      <c r="B62" s="24" t="str">
        <f>Budget!B25</f>
        <v>Soft Costs</v>
      </c>
      <c r="C62" s="24" t="str">
        <f>Budget!C25</f>
        <v>MEP Engineering</v>
      </c>
      <c r="D62" s="35">
        <f>Budget!$H25*Budget!$AM25</f>
        <v>0</v>
      </c>
      <c r="E62" s="35">
        <f>Budget!$H25*Budget!$AN25</f>
        <v>0</v>
      </c>
      <c r="F62" s="35">
        <f>Budget!$H25*Budget!$AO25</f>
        <v>0</v>
      </c>
      <c r="G62" s="35">
        <f>Budget!$H25*Budget!$AP25</f>
        <v>0</v>
      </c>
      <c r="H62" s="35">
        <f>Budget!$H25*Budget!$AQ25</f>
        <v>0</v>
      </c>
      <c r="I62" s="35">
        <f>Budget!$H25*Budget!$AR25</f>
        <v>0</v>
      </c>
      <c r="J62" s="35">
        <f>Budget!$H25*Budget!$AS25</f>
        <v>0</v>
      </c>
      <c r="K62" s="35">
        <f>Budget!$H25*Budget!$AT25</f>
        <v>0</v>
      </c>
      <c r="L62" s="35">
        <f>Budget!$H25*Budget!$AU25</f>
        <v>0</v>
      </c>
      <c r="M62" s="35">
        <f t="shared" si="2"/>
        <v>0</v>
      </c>
      <c r="N62" s="35">
        <f>M62-Budget!$H25</f>
        <v>0</v>
      </c>
    </row>
    <row r="63" spans="1:14">
      <c r="A63" s="24" t="str">
        <f>Budget!A26</f>
        <v>SC13</v>
      </c>
      <c r="B63" s="24" t="str">
        <f>Budget!B26</f>
        <v>Soft Costs</v>
      </c>
      <c r="C63" s="24" t="str">
        <f>Budget!C26</f>
        <v>Sitegrid / Other QS</v>
      </c>
      <c r="D63" s="35">
        <f>Budget!$H26*Budget!$AM26</f>
        <v>920.49639629742762</v>
      </c>
      <c r="E63" s="35">
        <f>Budget!$H26*Budget!$AN26</f>
        <v>522.15996610987042</v>
      </c>
      <c r="F63" s="35">
        <f>Budget!$H26*Budget!$AO26</f>
        <v>669.72500986987347</v>
      </c>
      <c r="G63" s="35">
        <f>Budget!$H26*Budget!$AP26</f>
        <v>247.74556162132149</v>
      </c>
      <c r="H63" s="35">
        <f>Budget!$H26*Budget!$AQ26</f>
        <v>0</v>
      </c>
      <c r="I63" s="35">
        <f>Budget!$H26*Budget!$AR26</f>
        <v>0</v>
      </c>
      <c r="J63" s="35">
        <f>Budget!$H26*Budget!$AS26</f>
        <v>0</v>
      </c>
      <c r="K63" s="35">
        <f>Budget!$H26*Budget!$AT26</f>
        <v>0</v>
      </c>
      <c r="L63" s="35">
        <f>Budget!$H26*Budget!$AU26</f>
        <v>347.50476210455696</v>
      </c>
      <c r="M63" s="35">
        <f t="shared" si="2"/>
        <v>2707.6316960030499</v>
      </c>
      <c r="N63" s="35">
        <f>M63-Budget!$H26</f>
        <v>0</v>
      </c>
    </row>
    <row r="64" spans="1:14">
      <c r="A64" s="24" t="str">
        <f>Budget!A27</f>
        <v>PM01</v>
      </c>
      <c r="B64" s="24" t="str">
        <f>Budget!B27</f>
        <v>Project Management</v>
      </c>
      <c r="C64" s="24" t="str">
        <f>Budget!C27</f>
        <v>Staff</v>
      </c>
      <c r="D64" s="35">
        <f>Budget!$H27*Budget!$AM27</f>
        <v>0</v>
      </c>
      <c r="E64" s="35">
        <f>Budget!$H27*Budget!$AN27</f>
        <v>0</v>
      </c>
      <c r="F64" s="35">
        <f>Budget!$H27*Budget!$AO27</f>
        <v>0</v>
      </c>
      <c r="G64" s="35">
        <f>Budget!$H27*Budget!$AP27</f>
        <v>0</v>
      </c>
      <c r="H64" s="35">
        <f>Budget!$H27*Budget!$AQ27</f>
        <v>0</v>
      </c>
      <c r="I64" s="35">
        <f>Budget!$H27*Budget!$AR27</f>
        <v>0</v>
      </c>
      <c r="J64" s="35">
        <f>Budget!$H27*Budget!$AS27</f>
        <v>0</v>
      </c>
      <c r="K64" s="35">
        <f>Budget!$H27*Budget!$AT27</f>
        <v>0</v>
      </c>
      <c r="L64" s="35">
        <f>Budget!$H27*Budget!$AU27</f>
        <v>0</v>
      </c>
      <c r="M64" s="35">
        <f t="shared" si="2"/>
        <v>0</v>
      </c>
      <c r="N64" s="35">
        <f>M64-Budget!$H27</f>
        <v>0</v>
      </c>
    </row>
    <row r="65" spans="1:14">
      <c r="A65" s="24" t="str">
        <f>Budget!A28</f>
        <v>PM02</v>
      </c>
      <c r="B65" s="24" t="str">
        <f>Budget!B28</f>
        <v>Project Management</v>
      </c>
      <c r="C65" s="24" t="str">
        <f>Budget!C28</f>
        <v>A&amp;G Allocation</v>
      </c>
      <c r="D65" s="35">
        <f>Budget!$H28*Budget!$AM28</f>
        <v>112188.00962721813</v>
      </c>
      <c r="E65" s="35">
        <f>Budget!$H28*Budget!$AN28</f>
        <v>63639.670443591654</v>
      </c>
      <c r="F65" s="35">
        <f>Budget!$H28*Budget!$AO28</f>
        <v>81624.562743635906</v>
      </c>
      <c r="G65" s="35">
        <f>Budget!$H28*Budget!$AP28</f>
        <v>30194.66623016811</v>
      </c>
      <c r="H65" s="35">
        <f>Budget!$H28*Budget!$AQ28</f>
        <v>0</v>
      </c>
      <c r="I65" s="35">
        <f>Budget!$H28*Budget!$AR28</f>
        <v>0</v>
      </c>
      <c r="J65" s="35">
        <f>Budget!$H28*Budget!$AS28</f>
        <v>0</v>
      </c>
      <c r="K65" s="35">
        <f>Budget!$H28*Budget!$AT28</f>
        <v>0</v>
      </c>
      <c r="L65" s="35">
        <f>Budget!$H28*Budget!$AU28</f>
        <v>42353.090955386215</v>
      </c>
      <c r="M65" s="35">
        <f t="shared" si="2"/>
        <v>330000.00000000006</v>
      </c>
      <c r="N65" s="35">
        <f>M65-Budget!$H28</f>
        <v>0</v>
      </c>
    </row>
    <row r="66" spans="1:14">
      <c r="A66" s="24" t="str">
        <f>Budget!A29</f>
        <v>PM03</v>
      </c>
      <c r="B66" s="24" t="str">
        <f>Budget!B29</f>
        <v>Project Management</v>
      </c>
      <c r="C66" s="24" t="str">
        <f>Budget!C29</f>
        <v>Project Management</v>
      </c>
      <c r="D66" s="35">
        <f>Budget!$H29*Budget!$AM29</f>
        <v>80.095372672933607</v>
      </c>
      <c r="E66" s="35">
        <f>Budget!$H29*Budget!$AN29</f>
        <v>45.43482978171582</v>
      </c>
      <c r="F66" s="35">
        <f>Budget!$H29*Budget!$AO29</f>
        <v>58.27494216129346</v>
      </c>
      <c r="G66" s="35">
        <f>Budget!$H29*Budget!$AP29</f>
        <v>21.557143695447227</v>
      </c>
      <c r="H66" s="35">
        <f>Budget!$H29*Budget!$AQ29</f>
        <v>0</v>
      </c>
      <c r="I66" s="35">
        <f>Budget!$H29*Budget!$AR29</f>
        <v>0</v>
      </c>
      <c r="J66" s="35">
        <f>Budget!$H29*Budget!$AS29</f>
        <v>0</v>
      </c>
      <c r="K66" s="35">
        <f>Budget!$H29*Budget!$AT29</f>
        <v>0</v>
      </c>
      <c r="L66" s="35">
        <f>Budget!$H29*Budget!$AU29</f>
        <v>30.237514821720339</v>
      </c>
      <c r="M66" s="35">
        <f t="shared" si="2"/>
        <v>235.59980313311044</v>
      </c>
      <c r="N66" s="35">
        <f>M66-Budget!$H29</f>
        <v>0</v>
      </c>
    </row>
    <row r="67" spans="1:14">
      <c r="A67" s="24" t="str">
        <f>Budget!A30</f>
        <v>PM04</v>
      </c>
      <c r="B67" s="24" t="str">
        <f>Budget!B30</f>
        <v>Contingency</v>
      </c>
      <c r="C67" s="24" t="str">
        <f>Budget!C30</f>
        <v>Contingency</v>
      </c>
      <c r="D67" s="35">
        <f>Budget!$H30*Budget!$AM30</f>
        <v>0</v>
      </c>
      <c r="E67" s="35">
        <f>Budget!$H30*Budget!$AN30</f>
        <v>0</v>
      </c>
      <c r="F67" s="35">
        <f>Budget!$H30*Budget!$AO30</f>
        <v>0</v>
      </c>
      <c r="G67" s="35">
        <f>Budget!$H30*Budget!$AP30</f>
        <v>0</v>
      </c>
      <c r="H67" s="35">
        <f>Budget!$H30*Budget!$AQ30</f>
        <v>0</v>
      </c>
      <c r="I67" s="35">
        <f>Budget!$H30*Budget!$AR30</f>
        <v>0</v>
      </c>
      <c r="J67" s="35">
        <f>Budget!$H30*Budget!$AS30</f>
        <v>0</v>
      </c>
      <c r="K67" s="35">
        <f>Budget!$H30*Budget!$AT30</f>
        <v>0</v>
      </c>
      <c r="L67" s="35">
        <f>Budget!$H30*Budget!$AU30</f>
        <v>0</v>
      </c>
      <c r="M67" s="35">
        <f t="shared" si="2"/>
        <v>0</v>
      </c>
      <c r="N67" s="35">
        <f>M67-Budget!$H30</f>
        <v>0</v>
      </c>
    </row>
    <row r="68" spans="1:14">
      <c r="A68" s="24" t="str">
        <f>Budget!A31</f>
        <v>HC08</v>
      </c>
      <c r="B68" s="24" t="str">
        <f>Budget!B31</f>
        <v>Hard Costs</v>
      </c>
      <c r="C68" s="24" t="str">
        <f>Budget!C31</f>
        <v>Interior Cost</v>
      </c>
      <c r="D68" s="35">
        <f>Budget!$H31*Budget!$AM31</f>
        <v>0</v>
      </c>
      <c r="E68" s="35">
        <f>Budget!$H31*Budget!$AN31</f>
        <v>0</v>
      </c>
      <c r="F68" s="35">
        <f>Budget!$H31*Budget!$AO31</f>
        <v>0</v>
      </c>
      <c r="G68" s="35">
        <f>Budget!$H31*Budget!$AP31</f>
        <v>0</v>
      </c>
      <c r="H68" s="35">
        <f>Budget!$H31*Budget!$AQ31</f>
        <v>0</v>
      </c>
      <c r="I68" s="35">
        <f>Budget!$H31*Budget!$AR31</f>
        <v>0</v>
      </c>
      <c r="J68" s="35">
        <f>Budget!$H31*Budget!$AS31</f>
        <v>0</v>
      </c>
      <c r="K68" s="35">
        <f>Budget!$H31*Budget!$AT31</f>
        <v>0</v>
      </c>
      <c r="L68" s="35">
        <f>Budget!$H31*Budget!$AU31</f>
        <v>0</v>
      </c>
      <c r="M68" s="35">
        <f t="shared" si="2"/>
        <v>0</v>
      </c>
      <c r="N68" s="35">
        <f>M68-Budget!$H31</f>
        <v>0</v>
      </c>
    </row>
    <row r="69" spans="1:14">
      <c r="A69" s="24" t="str">
        <f>Budget!A32</f>
        <v>LC01</v>
      </c>
      <c r="B69" s="24" t="str">
        <f>Budget!B32</f>
        <v>Land</v>
      </c>
      <c r="C69" s="24" t="str">
        <f>Budget!C32</f>
        <v>Land Costs</v>
      </c>
      <c r="D69" s="35">
        <f>Budget!$H32*Budget!$AM32</f>
        <v>0</v>
      </c>
      <c r="E69" s="35">
        <f>Budget!$H32*Budget!$AN32</f>
        <v>0</v>
      </c>
      <c r="F69" s="35">
        <f>Budget!$H32*Budget!$AO32</f>
        <v>0</v>
      </c>
      <c r="G69" s="35">
        <f>Budget!$H32*Budget!$AP32</f>
        <v>0</v>
      </c>
      <c r="H69" s="35">
        <f>Budget!$H32*Budget!$AQ32</f>
        <v>0</v>
      </c>
      <c r="I69" s="35">
        <f>Budget!$H32*Budget!$AR32</f>
        <v>0</v>
      </c>
      <c r="J69" s="35">
        <f>Budget!$H32*Budget!$AS32</f>
        <v>0</v>
      </c>
      <c r="K69" s="35">
        <f>Budget!$H32*Budget!$AT32</f>
        <v>0</v>
      </c>
      <c r="L69" s="35">
        <f>Budget!$H32*Budget!$AU32</f>
        <v>0</v>
      </c>
      <c r="M69" s="35">
        <f t="shared" si="2"/>
        <v>0</v>
      </c>
      <c r="N69" s="35">
        <f>M69-Budget!$H32</f>
        <v>0</v>
      </c>
    </row>
    <row r="70" spans="1:14">
      <c r="A70" s="24" t="str">
        <f>Budget!A33</f>
        <v>TX01</v>
      </c>
      <c r="B70" s="24" t="str">
        <f>Budget!B33</f>
        <v>Income Tax</v>
      </c>
      <c r="C70" s="24" t="str">
        <f>Budget!C33</f>
        <v>Income tax</v>
      </c>
      <c r="D70" s="35">
        <f>Budget!$H33*Budget!$AM33</f>
        <v>0</v>
      </c>
      <c r="E70" s="35">
        <f>Budget!$H33*Budget!$AN33</f>
        <v>0</v>
      </c>
      <c r="F70" s="35">
        <f>Budget!$H33*Budget!$AO33</f>
        <v>0</v>
      </c>
      <c r="G70" s="35">
        <f>Budget!$H33*Budget!$AP33</f>
        <v>0</v>
      </c>
      <c r="H70" s="35">
        <f>Budget!$H33*Budget!$AQ33</f>
        <v>0</v>
      </c>
      <c r="I70" s="35">
        <f>Budget!$H33*Budget!$AR33</f>
        <v>0</v>
      </c>
      <c r="J70" s="35">
        <f>Budget!$H33*Budget!$AS33</f>
        <v>0</v>
      </c>
      <c r="K70" s="35">
        <f>Budget!$H33*Budget!$AT33</f>
        <v>0</v>
      </c>
      <c r="L70" s="35">
        <f>Budget!$H33*Budget!$AU33</f>
        <v>0</v>
      </c>
      <c r="M70" s="35">
        <f t="shared" si="2"/>
        <v>0</v>
      </c>
      <c r="N70" s="35">
        <f>M70-Budget!$H33</f>
        <v>0</v>
      </c>
    </row>
    <row r="71" spans="1:14">
      <c r="A71" s="24" t="str">
        <f>Budget!A34</f>
        <v>TX02</v>
      </c>
      <c r="B71" s="24" t="str">
        <f>Budget!B34</f>
        <v>Sales Tax</v>
      </c>
      <c r="C71" s="24" t="str">
        <f>Budget!C34</f>
        <v>Sales VAT</v>
      </c>
      <c r="D71" s="35">
        <f>Budget!$H34*Budget!$AM34</f>
        <v>10959.430127138239</v>
      </c>
      <c r="E71" s="35">
        <f>Budget!$H34*Budget!$AN34</f>
        <v>11626.789178507861</v>
      </c>
      <c r="F71" s="35">
        <f>Budget!$H34*Budget!$AO34</f>
        <v>10372.317798898692</v>
      </c>
      <c r="G71" s="35">
        <f>Budget!$H34*Budget!$AP34</f>
        <v>3131.2657506109254</v>
      </c>
      <c r="H71" s="35">
        <f>Budget!$H34*Budget!$AQ34</f>
        <v>0</v>
      </c>
      <c r="I71" s="35">
        <f>Budget!$H34*Budget!$AR34</f>
        <v>0</v>
      </c>
      <c r="J71" s="35">
        <f>Budget!$H34*Budget!$AS34</f>
        <v>0</v>
      </c>
      <c r="K71" s="35">
        <f>Budget!$H34*Budget!$AT34</f>
        <v>0</v>
      </c>
      <c r="L71" s="35">
        <f>Budget!$H34*Budget!$AU34</f>
        <v>7817.2480013042459</v>
      </c>
      <c r="M71" s="35">
        <f t="shared" si="2"/>
        <v>43907.050856459959</v>
      </c>
      <c r="N71" s="35">
        <f>M71-Budget!$H34</f>
        <v>0</v>
      </c>
    </row>
    <row r="72" spans="1:14">
      <c r="A72" s="24" t="str">
        <f>Budget!A35</f>
        <v>OC01</v>
      </c>
      <c r="B72" s="24" t="str">
        <f>Budget!B35</f>
        <v>Other Costs</v>
      </c>
      <c r="C72" s="24" t="str">
        <f>Budget!C35</f>
        <v>Bank fees</v>
      </c>
      <c r="D72" s="35">
        <f>Budget!$H35*Budget!$AM35</f>
        <v>0</v>
      </c>
      <c r="E72" s="35">
        <f>Budget!$H35*Budget!$AN35</f>
        <v>0</v>
      </c>
      <c r="F72" s="35">
        <f>Budget!$H35*Budget!$AO35</f>
        <v>0</v>
      </c>
      <c r="G72" s="35">
        <f>Budget!$H35*Budget!$AP35</f>
        <v>0</v>
      </c>
      <c r="H72" s="35">
        <f>Budget!$H35*Budget!$AQ35</f>
        <v>0</v>
      </c>
      <c r="I72" s="35">
        <f>Budget!$H35*Budget!$AR35</f>
        <v>0</v>
      </c>
      <c r="J72" s="35">
        <f>Budget!$H35*Budget!$AS35</f>
        <v>0</v>
      </c>
      <c r="K72" s="35">
        <f>Budget!$H35*Budget!$AT35</f>
        <v>0</v>
      </c>
      <c r="L72" s="35">
        <f>Budget!$H35*Budget!$AU35</f>
        <v>0</v>
      </c>
      <c r="M72" s="35">
        <f t="shared" si="2"/>
        <v>0</v>
      </c>
      <c r="N72" s="35">
        <f>M72-Budget!$H35</f>
        <v>0</v>
      </c>
    </row>
    <row r="73" spans="1:14">
      <c r="A73" s="24" t="str">
        <f>Budget!A36</f>
        <v>OC02</v>
      </c>
      <c r="B73" s="24" t="str">
        <f>Budget!B36</f>
        <v>Other Costs</v>
      </c>
      <c r="C73" s="24" t="str">
        <f>Budget!C36</f>
        <v>Withholding tax</v>
      </c>
      <c r="D73" s="35">
        <f>Budget!$H36*Budget!$AM36</f>
        <v>16.628395772547147</v>
      </c>
      <c r="E73" s="35">
        <f>Budget!$H36*Budget!$AN36</f>
        <v>9.4326089792199603</v>
      </c>
      <c r="F73" s="35">
        <f>Budget!$H36*Budget!$AO36</f>
        <v>12.098311919182059</v>
      </c>
      <c r="G73" s="35">
        <f>Budget!$H36*Budget!$AP36</f>
        <v>4.4754235498388493</v>
      </c>
      <c r="H73" s="35">
        <f>Budget!$H36*Budget!$AQ36</f>
        <v>0</v>
      </c>
      <c r="I73" s="35">
        <f>Budget!$H36*Budget!$AR36</f>
        <v>0</v>
      </c>
      <c r="J73" s="35">
        <f>Budget!$H36*Budget!$AS36</f>
        <v>0</v>
      </c>
      <c r="K73" s="35">
        <f>Budget!$H36*Budget!$AT36</f>
        <v>0</v>
      </c>
      <c r="L73" s="35">
        <f>Budget!$H36*Budget!$AU36</f>
        <v>6.2775332313765038</v>
      </c>
      <c r="M73" s="35">
        <f t="shared" si="2"/>
        <v>48.91227345216452</v>
      </c>
      <c r="N73" s="35">
        <f>M73-Budget!$H36</f>
        <v>0</v>
      </c>
    </row>
    <row r="74" spans="1:14">
      <c r="A74" s="24" t="str">
        <f>Budget!A37</f>
        <v>OC03</v>
      </c>
      <c r="B74" s="24" t="str">
        <f>Budget!B37</f>
        <v>Other Costs</v>
      </c>
      <c r="C74" s="24" t="str">
        <f>Budget!C37</f>
        <v>Miscellaneous</v>
      </c>
      <c r="D74" s="35">
        <f>Budget!$H37*Budget!$AM37</f>
        <v>213.77256630505224</v>
      </c>
      <c r="E74" s="35">
        <f>Budget!$H37*Budget!$AN37</f>
        <v>121.26443560893497</v>
      </c>
      <c r="F74" s="35">
        <f>Budget!$H37*Budget!$AO37</f>
        <v>155.53437759717104</v>
      </c>
      <c r="G74" s="35">
        <f>Budget!$H37*Budget!$AP37</f>
        <v>57.535482715093337</v>
      </c>
      <c r="H74" s="35">
        <f>Budget!$H37*Budget!$AQ37</f>
        <v>0</v>
      </c>
      <c r="I74" s="35">
        <f>Budget!$H37*Budget!$AR37</f>
        <v>0</v>
      </c>
      <c r="J74" s="35">
        <f>Budget!$H37*Budget!$AS37</f>
        <v>0</v>
      </c>
      <c r="K74" s="35">
        <f>Budget!$H37*Budget!$AT37</f>
        <v>0</v>
      </c>
      <c r="L74" s="35">
        <f>Budget!$H37*Budget!$AU37</f>
        <v>80.703178303714353</v>
      </c>
      <c r="M74" s="35">
        <f t="shared" si="2"/>
        <v>628.81004052996593</v>
      </c>
      <c r="N74" s="35">
        <f>M74-Budget!$H37</f>
        <v>0</v>
      </c>
    </row>
    <row r="75" spans="1:14">
      <c r="A75" s="25" t="str">
        <f>Budget!A38</f>
        <v>OC04</v>
      </c>
      <c r="B75" s="25" t="str">
        <f>Budget!B38</f>
        <v>Other Costs</v>
      </c>
      <c r="C75" s="25" t="str">
        <f>Budget!C38</f>
        <v>Unmapped</v>
      </c>
      <c r="D75" s="36">
        <f>Budget!$H38*Budget!$AM38</f>
        <v>0</v>
      </c>
      <c r="E75" s="36">
        <f>Budget!$H38*Budget!$AN38</f>
        <v>0</v>
      </c>
      <c r="F75" s="36">
        <f>Budget!$H38*Budget!$AO38</f>
        <v>0</v>
      </c>
      <c r="G75" s="36">
        <f>Budget!$H38*Budget!$AP38</f>
        <v>0</v>
      </c>
      <c r="H75" s="36">
        <f>Budget!$H38*Budget!$AQ38</f>
        <v>0</v>
      </c>
      <c r="I75" s="36">
        <f>Budget!$H38*Budget!$AR38</f>
        <v>0</v>
      </c>
      <c r="J75" s="36">
        <f>Budget!$H38*Budget!$AS38</f>
        <v>0</v>
      </c>
      <c r="K75" s="36">
        <f>Budget!$H38*Budget!$AT38</f>
        <v>0</v>
      </c>
      <c r="L75" s="36">
        <f>Budget!$H38*Budget!$AU38</f>
        <v>0</v>
      </c>
      <c r="M75" s="36">
        <f t="shared" si="2"/>
        <v>0</v>
      </c>
      <c r="N75" s="36">
        <f>M75-Budget!$H38</f>
        <v>0</v>
      </c>
    </row>
    <row r="76" spans="1:14" ht="13.9">
      <c r="A76" s="175" t="s">
        <v>184</v>
      </c>
      <c r="B76" s="175"/>
      <c r="C76" s="175"/>
      <c r="D76" s="76">
        <f t="shared" ref="D76:N76" si="3">SUM(D44:D75)</f>
        <v>187629.33895951672</v>
      </c>
      <c r="E76" s="76">
        <f t="shared" si="3"/>
        <v>113484.30393848302</v>
      </c>
      <c r="F76" s="76">
        <f t="shared" si="3"/>
        <v>139323.26978196949</v>
      </c>
      <c r="G76" s="76">
        <f t="shared" si="3"/>
        <v>50887.42049520705</v>
      </c>
      <c r="H76" s="76">
        <f t="shared" si="3"/>
        <v>18629.170277997287</v>
      </c>
      <c r="I76" s="76">
        <f t="shared" si="3"/>
        <v>47517.539913063767</v>
      </c>
      <c r="J76" s="76">
        <f t="shared" si="3"/>
        <v>66743.380205303911</v>
      </c>
      <c r="K76" s="76">
        <f t="shared" si="3"/>
        <v>88701.454896713636</v>
      </c>
      <c r="L76" s="76">
        <f t="shared" si="3"/>
        <v>75322.671387573995</v>
      </c>
      <c r="M76" s="76">
        <f t="shared" si="3"/>
        <v>788238.54985582875</v>
      </c>
      <c r="N76" s="76">
        <f t="shared" si="3"/>
        <v>0</v>
      </c>
    </row>
    <row r="80" spans="1:14">
      <c r="A80" s="163" t="s">
        <v>186</v>
      </c>
      <c r="B80" s="163" t="s">
        <v>186</v>
      </c>
      <c r="C80" s="163" t="s">
        <v>186</v>
      </c>
      <c r="D80" s="163" t="s">
        <v>186</v>
      </c>
      <c r="E80" s="163" t="s">
        <v>186</v>
      </c>
      <c r="F80" s="163" t="s">
        <v>186</v>
      </c>
      <c r="G80" s="163" t="s">
        <v>186</v>
      </c>
      <c r="H80" s="163" t="s">
        <v>186</v>
      </c>
      <c r="I80" s="163" t="s">
        <v>186</v>
      </c>
      <c r="J80" s="163" t="s">
        <v>186</v>
      </c>
      <c r="K80" s="163" t="s">
        <v>186</v>
      </c>
      <c r="L80" s="163" t="s">
        <v>186</v>
      </c>
      <c r="M80" s="163" t="s">
        <v>186</v>
      </c>
      <c r="N80" s="163" t="s">
        <v>186</v>
      </c>
    </row>
    <row r="81" spans="1:14">
      <c r="A81" s="23" t="str">
        <f>Budget!A7</f>
        <v>HC01</v>
      </c>
      <c r="B81" s="23" t="str">
        <f>Budget!B7</f>
        <v>Hard Costs</v>
      </c>
      <c r="C81" s="23" t="str">
        <f>Budget!C7</f>
        <v>Preliminaries</v>
      </c>
      <c r="D81" s="33">
        <f>Budget!$J7*Budget!$AM7</f>
        <v>128399.47281399999</v>
      </c>
      <c r="E81" s="33">
        <f>Budget!$J7*Budget!$AN7</f>
        <v>81336.586809999993</v>
      </c>
      <c r="F81" s="33">
        <f>Budget!$J7*Budget!$AO7</f>
        <v>115186.50019800001</v>
      </c>
      <c r="G81" s="33">
        <f>Budget!$J7*Budget!$AP7</f>
        <v>41970.725114000001</v>
      </c>
      <c r="H81" s="33">
        <f>Budget!$J7*Budget!$AQ7</f>
        <v>0</v>
      </c>
      <c r="I81" s="33">
        <f>Budget!$J7*Budget!$AR7</f>
        <v>0</v>
      </c>
      <c r="J81" s="33">
        <f>Budget!$J7*Budget!$AS7</f>
        <v>0</v>
      </c>
      <c r="K81" s="33">
        <f>Budget!$J7*Budget!$AT7</f>
        <v>0</v>
      </c>
      <c r="L81" s="33">
        <f>Budget!$J7*Budget!$AU7</f>
        <v>39621.199954000003</v>
      </c>
      <c r="M81" s="33">
        <f t="shared" ref="M81:M112" si="4">SUM(D81:L81)</f>
        <v>406514.48489000002</v>
      </c>
      <c r="N81" s="33">
        <f>M81-Budget!$J7</f>
        <v>0</v>
      </c>
    </row>
    <row r="82" spans="1:14">
      <c r="A82" s="24" t="str">
        <f>Budget!A8</f>
        <v>HC02</v>
      </c>
      <c r="B82" s="24" t="str">
        <f>Budget!B8</f>
        <v>Hard Costs</v>
      </c>
      <c r="C82" s="24" t="str">
        <f>Budget!C8</f>
        <v>Structure &amp; Architecture</v>
      </c>
      <c r="D82" s="35">
        <f>Budget!$J8*Budget!$AM8</f>
        <v>1173228.4946580001</v>
      </c>
      <c r="E82" s="35">
        <f>Budget!$J8*Budget!$AN8</f>
        <v>774648.82944999996</v>
      </c>
      <c r="F82" s="35">
        <f>Budget!$J8*Budget!$AO8</f>
        <v>1160416.3676839999</v>
      </c>
      <c r="G82" s="35">
        <f>Budget!$J8*Budget!$AP8</f>
        <v>458986.306729</v>
      </c>
      <c r="H82" s="35">
        <f>Budget!$J8*Budget!$AQ8</f>
        <v>0</v>
      </c>
      <c r="I82" s="35">
        <f>Budget!$J8*Budget!$AR8</f>
        <v>0</v>
      </c>
      <c r="J82" s="35">
        <f>Budget!$J8*Budget!$AS8</f>
        <v>0</v>
      </c>
      <c r="K82" s="35">
        <f>Budget!$J8*Budget!$AT8</f>
        <v>0</v>
      </c>
      <c r="L82" s="35">
        <f>Budget!$J8*Budget!$AU8</f>
        <v>400227.151702</v>
      </c>
      <c r="M82" s="35">
        <f t="shared" si="4"/>
        <v>3967507.150223</v>
      </c>
      <c r="N82" s="35">
        <f>M82-Budget!$J8</f>
        <v>0</v>
      </c>
    </row>
    <row r="83" spans="1:14">
      <c r="A83" s="24" t="str">
        <f>Budget!A9</f>
        <v>HC03</v>
      </c>
      <c r="B83" s="24" t="str">
        <f>Budget!B9</f>
        <v>Hard Costs</v>
      </c>
      <c r="C83" s="24" t="str">
        <f>Budget!C9</f>
        <v>MEP</v>
      </c>
      <c r="D83" s="35">
        <f>Budget!$J9*Budget!$AM9</f>
        <v>275221.984</v>
      </c>
      <c r="E83" s="35">
        <f>Budget!$J9*Budget!$AN9</f>
        <v>181045.72985800001</v>
      </c>
      <c r="F83" s="35">
        <f>Budget!$J9*Budget!$AO9</f>
        <v>180233.86564599999</v>
      </c>
      <c r="G83" s="35">
        <f>Budget!$J9*Budget!$AP9</f>
        <v>98776.818232000005</v>
      </c>
      <c r="H83" s="35">
        <f>Budget!$J9*Budget!$AQ9</f>
        <v>0</v>
      </c>
      <c r="I83" s="35">
        <f>Budget!$J9*Budget!$AR9</f>
        <v>0</v>
      </c>
      <c r="J83" s="35">
        <f>Budget!$J9*Budget!$AS9</f>
        <v>0</v>
      </c>
      <c r="K83" s="35">
        <f>Budget!$J9*Budget!$AT9</f>
        <v>0</v>
      </c>
      <c r="L83" s="35">
        <f>Budget!$J9*Budget!$AU9</f>
        <v>103648.00380000001</v>
      </c>
      <c r="M83" s="35">
        <f t="shared" si="4"/>
        <v>838926.40153599996</v>
      </c>
      <c r="N83" s="35">
        <f>M83-Budget!$J9</f>
        <v>0</v>
      </c>
    </row>
    <row r="84" spans="1:14">
      <c r="A84" s="24" t="str">
        <f>Budget!A10</f>
        <v>HC04</v>
      </c>
      <c r="B84" s="24" t="str">
        <f>Budget!B10</f>
        <v>Hard Costs</v>
      </c>
      <c r="C84" s="24" t="str">
        <f>Budget!C10</f>
        <v>Provisional Sum</v>
      </c>
      <c r="D84" s="35">
        <f>Budget!$J10*Budget!$AM10</f>
        <v>25160</v>
      </c>
      <c r="E84" s="35">
        <f>Budget!$J10*Budget!$AN10</f>
        <v>25160</v>
      </c>
      <c r="F84" s="35">
        <f>Budget!$J10*Budget!$AO10</f>
        <v>25160</v>
      </c>
      <c r="G84" s="35">
        <f>Budget!$J10*Budget!$AP10</f>
        <v>25160</v>
      </c>
      <c r="H84" s="35">
        <f>Budget!$J10*Budget!$AQ10</f>
        <v>0</v>
      </c>
      <c r="I84" s="35">
        <f>Budget!$J10*Budget!$AR10</f>
        <v>0</v>
      </c>
      <c r="J84" s="35">
        <f>Budget!$J10*Budget!$AS10</f>
        <v>0</v>
      </c>
      <c r="K84" s="35">
        <f>Budget!$J10*Budget!$AT10</f>
        <v>0</v>
      </c>
      <c r="L84" s="35">
        <f>Budget!$J10*Budget!$AU10</f>
        <v>25160</v>
      </c>
      <c r="M84" s="35">
        <f t="shared" si="4"/>
        <v>125800</v>
      </c>
      <c r="N84" s="35">
        <f>M84-Budget!$J10</f>
        <v>0</v>
      </c>
    </row>
    <row r="85" spans="1:14">
      <c r="A85" s="24" t="str">
        <f>Budget!A11</f>
        <v>HC05</v>
      </c>
      <c r="B85" s="24" t="str">
        <f>Budget!B11</f>
        <v>Hard Costs</v>
      </c>
      <c r="C85" s="24" t="str">
        <f>Budget!C11</f>
        <v>Landscaping</v>
      </c>
      <c r="D85" s="35">
        <f>Budget!$J11*Budget!$AM11</f>
        <v>35000</v>
      </c>
      <c r="E85" s="35">
        <f>Budget!$J11*Budget!$AN11</f>
        <v>35000</v>
      </c>
      <c r="F85" s="35">
        <f>Budget!$J11*Budget!$AO11</f>
        <v>35000</v>
      </c>
      <c r="G85" s="35">
        <f>Budget!$J11*Budget!$AP11</f>
        <v>35000</v>
      </c>
      <c r="H85" s="35">
        <f>Budget!$J11*Budget!$AQ11</f>
        <v>0</v>
      </c>
      <c r="I85" s="35">
        <f>Budget!$J11*Budget!$AR11</f>
        <v>0</v>
      </c>
      <c r="J85" s="35">
        <f>Budget!$J11*Budget!$AS11</f>
        <v>0</v>
      </c>
      <c r="K85" s="35">
        <f>Budget!$J11*Budget!$AT11</f>
        <v>0</v>
      </c>
      <c r="L85" s="35">
        <f>Budget!$J11*Budget!$AU11</f>
        <v>35000</v>
      </c>
      <c r="M85" s="35">
        <f t="shared" si="4"/>
        <v>175000</v>
      </c>
      <c r="N85" s="35">
        <f>M85-Budget!$J11</f>
        <v>0</v>
      </c>
    </row>
    <row r="86" spans="1:14">
      <c r="A86" s="24" t="str">
        <f>Budget!A12</f>
        <v>HC06</v>
      </c>
      <c r="B86" s="24" t="str">
        <f>Budget!B12</f>
        <v>Hard Costs</v>
      </c>
      <c r="C86" s="24" t="str">
        <f>Budget!C12</f>
        <v>Network &amp; Infrastructure upgrade</v>
      </c>
      <c r="D86" s="35">
        <f>Budget!$J12*Budget!$AM12</f>
        <v>152201.73306100001</v>
      </c>
      <c r="E86" s="35">
        <f>Budget!$J12*Budget!$AN12</f>
        <v>86337.819568000006</v>
      </c>
      <c r="F86" s="35">
        <f>Budget!$J12*Budget!$AO12</f>
        <v>110737.323456</v>
      </c>
      <c r="G86" s="35">
        <f>Budget!$J12*Budget!$AP12</f>
        <v>40964.097185999999</v>
      </c>
      <c r="H86" s="35">
        <f>Budget!$J12*Budget!$AQ12</f>
        <v>0</v>
      </c>
      <c r="I86" s="35">
        <f>Budget!$J12*Budget!$AR12</f>
        <v>0</v>
      </c>
      <c r="J86" s="35">
        <f>Budget!$J12*Budget!$AS12</f>
        <v>0</v>
      </c>
      <c r="K86" s="35">
        <f>Budget!$J12*Budget!$AT12</f>
        <v>0</v>
      </c>
      <c r="L86" s="35">
        <f>Budget!$J12*Budget!$AU12</f>
        <v>57459.026728999997</v>
      </c>
      <c r="M86" s="35">
        <f t="shared" si="4"/>
        <v>447699.99999999994</v>
      </c>
      <c r="N86" s="35">
        <f>M86-Budget!$J12</f>
        <v>0</v>
      </c>
    </row>
    <row r="87" spans="1:14">
      <c r="A87" s="24" t="str">
        <f>Budget!A13</f>
        <v>HC07</v>
      </c>
      <c r="B87" s="24" t="str">
        <f>Budget!B13</f>
        <v>Hard Costs</v>
      </c>
      <c r="C87" s="24" t="str">
        <f>Budget!C13</f>
        <v>New Infrastructure</v>
      </c>
      <c r="D87" s="35">
        <f>Budget!$J13*Budget!$AM13</f>
        <v>47536.960701999997</v>
      </c>
      <c r="E87" s="35">
        <f>Budget!$J13*Budget!$AN13</f>
        <v>26965.773999000001</v>
      </c>
      <c r="F87" s="35">
        <f>Budget!$J13*Budget!$AO13</f>
        <v>34586.43793</v>
      </c>
      <c r="G87" s="35">
        <f>Budget!$J13*Budget!$AP13</f>
        <v>12794.260873000001</v>
      </c>
      <c r="H87" s="35">
        <f>Budget!$J13*Budget!$AQ13</f>
        <v>0</v>
      </c>
      <c r="I87" s="35">
        <f>Budget!$J13*Budget!$AR13</f>
        <v>0</v>
      </c>
      <c r="J87" s="35">
        <f>Budget!$J13*Budget!$AS13</f>
        <v>0</v>
      </c>
      <c r="K87" s="35">
        <f>Budget!$J13*Budget!$AT13</f>
        <v>0</v>
      </c>
      <c r="L87" s="35">
        <f>Budget!$J13*Budget!$AU13</f>
        <v>17946.099828999999</v>
      </c>
      <c r="M87" s="35">
        <f t="shared" si="4"/>
        <v>139829.533333</v>
      </c>
      <c r="N87" s="35">
        <f>M87-Budget!$J13</f>
        <v>0</v>
      </c>
    </row>
    <row r="88" spans="1:14">
      <c r="A88" s="24" t="str">
        <f>Budget!A14</f>
        <v>SC01</v>
      </c>
      <c r="B88" s="24" t="str">
        <f>Budget!B14</f>
        <v>Soft Costs</v>
      </c>
      <c r="C88" s="24" t="str">
        <f>Budget!C14</f>
        <v>Architect Cost</v>
      </c>
      <c r="D88" s="35">
        <f>Budget!$J14*Budget!$AM14</f>
        <v>45192.283089046592</v>
      </c>
      <c r="E88" s="35">
        <f>Budget!$J14*Budget!$AN14</f>
        <v>25635.73426373248</v>
      </c>
      <c r="F88" s="35">
        <f>Budget!$J14*Budget!$AO14</f>
        <v>32880.522248209076</v>
      </c>
      <c r="G88" s="35">
        <f>Budget!$J14*Budget!$AP14</f>
        <v>12163.206287260602</v>
      </c>
      <c r="H88" s="35">
        <f>Budget!$J14*Budget!$AQ14</f>
        <v>14405.2249204484</v>
      </c>
      <c r="I88" s="35">
        <f>Budget!$J14*Budget!$AR14</f>
        <v>34731.678538803026</v>
      </c>
      <c r="J88" s="35">
        <f>Budget!$J14*Budget!$AS14</f>
        <v>48093.529343351431</v>
      </c>
      <c r="K88" s="35">
        <f>Budget!$J14*Budget!$AT14</f>
        <v>63441.927930361329</v>
      </c>
      <c r="L88" s="35">
        <f>Budget!$J14*Budget!$AU14</f>
        <v>17060.939778787069</v>
      </c>
      <c r="M88" s="35">
        <f t="shared" si="4"/>
        <v>293605.04639999999</v>
      </c>
      <c r="N88" s="35">
        <f>M88-Budget!$J14</f>
        <v>0</v>
      </c>
    </row>
    <row r="89" spans="1:14">
      <c r="A89" s="24" t="str">
        <f>Budget!A15</f>
        <v>SC02</v>
      </c>
      <c r="B89" s="24" t="str">
        <f>Budget!B15</f>
        <v>Soft Costs</v>
      </c>
      <c r="C89" s="24" t="str">
        <f>Budget!C15</f>
        <v>Interior Designer</v>
      </c>
      <c r="D89" s="35">
        <f>Budget!$J15*Budget!$AM15</f>
        <v>27822.11677583808</v>
      </c>
      <c r="E89" s="35">
        <f>Budget!$J15*Budget!$AN15</f>
        <v>15782.349188124754</v>
      </c>
      <c r="F89" s="35">
        <f>Budget!$J15*Budget!$AO15</f>
        <v>20242.520782534655</v>
      </c>
      <c r="G89" s="35">
        <f>Budget!$J15*Budget!$AP15</f>
        <v>7488.140066435215</v>
      </c>
      <c r="H89" s="35">
        <f>Budget!$J15*Budget!$AQ15</f>
        <v>8868.4134220266369</v>
      </c>
      <c r="I89" s="35">
        <f>Budget!$J15*Budget!$AR15</f>
        <v>21382.164167794715</v>
      </c>
      <c r="J89" s="35">
        <f>Budget!$J15*Budget!$AS15</f>
        <v>29608.236143246097</v>
      </c>
      <c r="K89" s="35">
        <f>Budget!$J15*Budget!$AT15</f>
        <v>39057.303741103242</v>
      </c>
      <c r="L89" s="35">
        <f>Budget!$J15*Budget!$AU15</f>
        <v>10503.374168896607</v>
      </c>
      <c r="M89" s="35">
        <f t="shared" si="4"/>
        <v>180754.61845600003</v>
      </c>
      <c r="N89" s="35">
        <f>M89-Budget!$J15</f>
        <v>0</v>
      </c>
    </row>
    <row r="90" spans="1:14">
      <c r="A90" s="24" t="str">
        <f>Budget!A16</f>
        <v>SC03</v>
      </c>
      <c r="B90" s="24" t="str">
        <f>Budget!B16</f>
        <v>Soft Costs</v>
      </c>
      <c r="C90" s="24" t="str">
        <f>Budget!C16</f>
        <v>Landscape Designer</v>
      </c>
      <c r="D90" s="35">
        <f>Budget!$J16*Budget!$AM16</f>
        <v>4681.1443802134672</v>
      </c>
      <c r="E90" s="35">
        <f>Budget!$J16*Budget!$AN16</f>
        <v>2655.4217928061053</v>
      </c>
      <c r="F90" s="35">
        <f>Budget!$J16*Budget!$AO16</f>
        <v>3405.8574035174947</v>
      </c>
      <c r="G90" s="35">
        <f>Budget!$J16*Budget!$AP16</f>
        <v>1259.8992762723969</v>
      </c>
      <c r="H90" s="35">
        <f>Budget!$J16*Budget!$AQ16</f>
        <v>1492.1339014715982</v>
      </c>
      <c r="I90" s="35">
        <f>Budget!$J16*Budget!$AR16</f>
        <v>3597.6054028282661</v>
      </c>
      <c r="J90" s="35">
        <f>Budget!$J16*Budget!$AS16</f>
        <v>4981.663665158515</v>
      </c>
      <c r="K90" s="35">
        <f>Budget!$J16*Budget!$AT16</f>
        <v>6571.4941600969705</v>
      </c>
      <c r="L90" s="35">
        <f>Budget!$J16*Budget!$AU16</f>
        <v>1767.2203506351857</v>
      </c>
      <c r="M90" s="35">
        <f t="shared" si="4"/>
        <v>30412.440332999999</v>
      </c>
      <c r="N90" s="35">
        <f>M90-Budget!$J16</f>
        <v>0</v>
      </c>
    </row>
    <row r="91" spans="1:14">
      <c r="A91" s="24" t="str">
        <f>Budget!A17</f>
        <v>SC04</v>
      </c>
      <c r="B91" s="24" t="str">
        <f>Budget!B17</f>
        <v>Soft Costs</v>
      </c>
      <c r="C91" s="24" t="str">
        <f>Budget!C17</f>
        <v>Structure Engineer</v>
      </c>
      <c r="D91" s="35">
        <f>Budget!$J17*Budget!$AM17</f>
        <v>5192.3029532850287</v>
      </c>
      <c r="E91" s="35">
        <f>Budget!$J17*Budget!$AN17</f>
        <v>2945.3811498067535</v>
      </c>
      <c r="F91" s="35">
        <f>Budget!$J17*Budget!$AO17</f>
        <v>3777.7607393397975</v>
      </c>
      <c r="G91" s="35">
        <f>Budget!$J17*Budget!$AP17</f>
        <v>1397.4742502457318</v>
      </c>
      <c r="H91" s="35">
        <f>Budget!$J17*Budget!$AQ17</f>
        <v>1655.0677855730626</v>
      </c>
      <c r="I91" s="35">
        <f>Budget!$J17*Budget!$AR17</f>
        <v>3990.4467029080502</v>
      </c>
      <c r="J91" s="35">
        <f>Budget!$J17*Budget!$AS17</f>
        <v>5525.637506548288</v>
      </c>
      <c r="K91" s="35">
        <f>Budget!$J17*Budget!$AT17</f>
        <v>7289.0698862423969</v>
      </c>
      <c r="L91" s="35">
        <f>Budget!$J17*Budget!$AU17</f>
        <v>1960.1923590508954</v>
      </c>
      <c r="M91" s="35">
        <f t="shared" si="4"/>
        <v>33733.333333000002</v>
      </c>
      <c r="N91" s="35">
        <f>M91-Budget!$J17</f>
        <v>0</v>
      </c>
    </row>
    <row r="92" spans="1:14">
      <c r="A92" s="24" t="str">
        <f>Budget!A18</f>
        <v>SC05</v>
      </c>
      <c r="B92" s="24" t="str">
        <f>Budget!B18</f>
        <v>Soft Costs</v>
      </c>
      <c r="C92" s="24" t="str">
        <f>Budget!C18</f>
        <v>MEP Consultant</v>
      </c>
      <c r="D92" s="35">
        <f>Budget!$J18*Budget!$AM18</f>
        <v>1742.7051592195846</v>
      </c>
      <c r="E92" s="35">
        <f>Budget!$J18*Budget!$AN18</f>
        <v>988.56537683127226</v>
      </c>
      <c r="F92" s="35">
        <f>Budget!$J18*Budget!$AO18</f>
        <v>1267.9389453921292</v>
      </c>
      <c r="G92" s="35">
        <f>Budget!$J18*Budget!$AP18</f>
        <v>469.03765201892844</v>
      </c>
      <c r="H92" s="35">
        <f>Budget!$J18*Budget!$AQ18</f>
        <v>555.49439135701709</v>
      </c>
      <c r="I92" s="35">
        <f>Budget!$J18*Budget!$AR18</f>
        <v>1339.3232481453967</v>
      </c>
      <c r="J92" s="35">
        <f>Budget!$J18*Budget!$AS18</f>
        <v>1854.5830390244439</v>
      </c>
      <c r="K92" s="35">
        <f>Budget!$J18*Budget!$AT18</f>
        <v>2446.4481003809851</v>
      </c>
      <c r="L92" s="35">
        <f>Budget!$J18*Budget!$AU18</f>
        <v>657.90408763024323</v>
      </c>
      <c r="M92" s="35">
        <f t="shared" si="4"/>
        <v>11322</v>
      </c>
      <c r="N92" s="35">
        <f>M92-Budget!$J18</f>
        <v>0</v>
      </c>
    </row>
    <row r="93" spans="1:14">
      <c r="A93" s="24" t="str">
        <f>Budget!A19</f>
        <v>SC06</v>
      </c>
      <c r="B93" s="24" t="str">
        <f>Budget!B19</f>
        <v>Soft Costs</v>
      </c>
      <c r="C93" s="24" t="str">
        <f>Budget!C19</f>
        <v>Quantity Surveyor</v>
      </c>
      <c r="D93" s="35">
        <f>Budget!$J19*Budget!$AM19</f>
        <v>14940.188549529901</v>
      </c>
      <c r="E93" s="35">
        <f>Budget!$J19*Budget!$AN19</f>
        <v>8474.9580531512693</v>
      </c>
      <c r="F93" s="35">
        <f>Budget!$J19*Budget!$AO19</f>
        <v>10870.024004481424</v>
      </c>
      <c r="G93" s="35">
        <f>Budget!$J19*Budget!$AP19</f>
        <v>4021.0536595471358</v>
      </c>
      <c r="H93" s="35">
        <f>Budget!$J19*Budget!$AQ19</f>
        <v>4762.2461557391143</v>
      </c>
      <c r="I93" s="35">
        <f>Budget!$J19*Budget!$AR19</f>
        <v>11482.000698857044</v>
      </c>
      <c r="J93" s="35">
        <f>Budget!$J19*Budget!$AS19</f>
        <v>15899.316150641014</v>
      </c>
      <c r="K93" s="35">
        <f>Budget!$J19*Budget!$AT19</f>
        <v>20973.367584852451</v>
      </c>
      <c r="L93" s="35">
        <f>Budget!$J19*Budget!$AU19</f>
        <v>5640.2031432006415</v>
      </c>
      <c r="M93" s="35">
        <f t="shared" si="4"/>
        <v>97063.357999999993</v>
      </c>
      <c r="N93" s="35">
        <f>M93-Budget!$J19</f>
        <v>0</v>
      </c>
    </row>
    <row r="94" spans="1:14">
      <c r="A94" s="24" t="str">
        <f>Budget!A20</f>
        <v>SC07</v>
      </c>
      <c r="B94" s="24" t="str">
        <f>Budget!B20</f>
        <v>Soft Costs</v>
      </c>
      <c r="C94" s="24" t="str">
        <f>Budget!C20</f>
        <v>Notary</v>
      </c>
      <c r="D94" s="35">
        <f>Budget!$J20*Budget!$AM20</f>
        <v>14059.10423422788</v>
      </c>
      <c r="E94" s="35">
        <f>Budget!$J20*Budget!$AN20</f>
        <v>6100.489529279932</v>
      </c>
      <c r="F94" s="35">
        <f>Budget!$J20*Budget!$AO20</f>
        <v>8457.358614619885</v>
      </c>
      <c r="G94" s="35">
        <f>Budget!$J20*Budget!$AP20</f>
        <v>4172.4185614018279</v>
      </c>
      <c r="H94" s="35">
        <f>Budget!$J20*Budget!$AQ20</f>
        <v>4281.8989318176191</v>
      </c>
      <c r="I94" s="35">
        <f>Budget!$J20*Budget!$AR20</f>
        <v>18073.384482806901</v>
      </c>
      <c r="J94" s="35">
        <f>Budget!$J20*Budget!$AS20</f>
        <v>27841.466421015841</v>
      </c>
      <c r="K94" s="35">
        <f>Budget!$J20*Budget!$AT20</f>
        <v>38686.105334980071</v>
      </c>
      <c r="L94" s="35">
        <f>Budget!$J20*Budget!$AU20</f>
        <v>3120.1905568500551</v>
      </c>
      <c r="M94" s="35">
        <f t="shared" si="4"/>
        <v>124792.41666700001</v>
      </c>
      <c r="N94" s="35">
        <f>M94-Budget!$J20</f>
        <v>0</v>
      </c>
    </row>
    <row r="95" spans="1:14">
      <c r="A95" s="24" t="str">
        <f>Budget!A21</f>
        <v>SC08</v>
      </c>
      <c r="B95" s="24" t="str">
        <f>Budget!B21</f>
        <v>Soft Costs</v>
      </c>
      <c r="C95" s="24" t="str">
        <f>Budget!C21</f>
        <v>Tax &amp; legal advice</v>
      </c>
      <c r="D95" s="35">
        <f>Budget!$J21*Budget!$AM21</f>
        <v>4597.0787939305737</v>
      </c>
      <c r="E95" s="35">
        <f>Budget!$J21*Budget!$AN21</f>
        <v>4877.0114279634354</v>
      </c>
      <c r="F95" s="35">
        <f>Budget!$J21*Budget!$AO21</f>
        <v>4350.8067156842935</v>
      </c>
      <c r="G95" s="35">
        <f>Budget!$J21*Budget!$AP21</f>
        <v>1313.451083980164</v>
      </c>
      <c r="H95" s="35">
        <f>Budget!$J21*Budget!$AQ21</f>
        <v>0</v>
      </c>
      <c r="I95" s="35">
        <f>Budget!$J21*Budget!$AR21</f>
        <v>0</v>
      </c>
      <c r="J95" s="35">
        <f>Budget!$J21*Budget!$AS21</f>
        <v>0</v>
      </c>
      <c r="K95" s="35">
        <f>Budget!$J21*Budget!$AT21</f>
        <v>0</v>
      </c>
      <c r="L95" s="35">
        <f>Budget!$J21*Budget!$AU21</f>
        <v>3279.0486911088838</v>
      </c>
      <c r="M95" s="35">
        <f t="shared" si="4"/>
        <v>18417.396712667352</v>
      </c>
      <c r="N95" s="35">
        <f>M95-Budget!$J21</f>
        <v>0</v>
      </c>
    </row>
    <row r="96" spans="1:14">
      <c r="A96" s="24" t="str">
        <f>Budget!A22</f>
        <v>SC09</v>
      </c>
      <c r="B96" s="24" t="str">
        <f>Budget!B22</f>
        <v>Soft Costs</v>
      </c>
      <c r="C96" s="24" t="str">
        <f>Budget!C22</f>
        <v>Other professional fees</v>
      </c>
      <c r="D96" s="35">
        <f>Budget!$J22*Budget!$AM22</f>
        <v>6156.8809723355753</v>
      </c>
      <c r="E96" s="35">
        <f>Budget!$J22*Budget!$AN22</f>
        <v>3492.5468179871832</v>
      </c>
      <c r="F96" s="35">
        <f>Budget!$J22*Budget!$AO22</f>
        <v>4479.5581889847354</v>
      </c>
      <c r="G96" s="35">
        <f>Budget!$J22*Budget!$AP22</f>
        <v>1657.0840912168467</v>
      </c>
      <c r="H96" s="35">
        <f>Budget!$J22*Budget!$AQ22</f>
        <v>1962.5309710546446</v>
      </c>
      <c r="I96" s="35">
        <f>Budget!$J22*Budget!$AR22</f>
        <v>4731.7549837321912</v>
      </c>
      <c r="J96" s="35">
        <f>Budget!$J22*Budget!$AS22</f>
        <v>6552.1393358927535</v>
      </c>
      <c r="K96" s="35">
        <f>Budget!$J22*Budget!$AT22</f>
        <v>8643.1658731001062</v>
      </c>
      <c r="L96" s="35">
        <f>Budget!$J22*Budget!$AU22</f>
        <v>2324.3387656959662</v>
      </c>
      <c r="M96" s="35">
        <f t="shared" si="4"/>
        <v>40000.000000000007</v>
      </c>
      <c r="N96" s="35">
        <f>M96-Budget!$J22</f>
        <v>0</v>
      </c>
    </row>
    <row r="97" spans="1:14">
      <c r="A97" s="24" t="str">
        <f>Budget!A23</f>
        <v>SC10</v>
      </c>
      <c r="B97" s="24" t="str">
        <f>Budget!B23</f>
        <v>Soft Costs</v>
      </c>
      <c r="C97" s="24" t="str">
        <f>Budget!C23</f>
        <v>Land Survey</v>
      </c>
      <c r="D97" s="35">
        <f>Budget!$J23*Budget!$AM23</f>
        <v>1266.0699778238088</v>
      </c>
      <c r="E97" s="35">
        <f>Budget!$J23*Budget!$AN23</f>
        <v>549.36975459973189</v>
      </c>
      <c r="F97" s="35">
        <f>Budget!$J23*Budget!$AO23</f>
        <v>761.6138023638357</v>
      </c>
      <c r="G97" s="35">
        <f>Budget!$J23*Budget!$AP23</f>
        <v>375.74043036432312</v>
      </c>
      <c r="H97" s="35">
        <f>Budget!$J23*Budget!$AQ23</f>
        <v>385.59950871207502</v>
      </c>
      <c r="I97" s="35">
        <f>Budget!$J23*Budget!$AR23</f>
        <v>1627.5695172413793</v>
      </c>
      <c r="J97" s="35">
        <f>Budget!$J23*Budget!$AS23</f>
        <v>2507.2183964908004</v>
      </c>
      <c r="K97" s="35">
        <f>Budget!$J23*Budget!$AT23</f>
        <v>3483.8148794931153</v>
      </c>
      <c r="L97" s="35">
        <f>Budget!$J23*Budget!$AU23</f>
        <v>280.98373291092969</v>
      </c>
      <c r="M97" s="35">
        <f t="shared" si="4"/>
        <v>11237.98</v>
      </c>
      <c r="N97" s="35">
        <f>M97-Budget!$J23</f>
        <v>0</v>
      </c>
    </row>
    <row r="98" spans="1:14">
      <c r="A98" s="24" t="str">
        <f>Budget!A24</f>
        <v>SC11</v>
      </c>
      <c r="B98" s="24" t="str">
        <f>Budget!B24</f>
        <v>Soft Costs</v>
      </c>
      <c r="C98" s="24" t="str">
        <f>Budget!C24</f>
        <v>Soil Test</v>
      </c>
      <c r="D98" s="35">
        <f>Budget!$J24*Budget!$AM24</f>
        <v>3475.6262653832091</v>
      </c>
      <c r="E98" s="35">
        <f>Budget!$J24*Budget!$AN24</f>
        <v>1508.1346070427683</v>
      </c>
      <c r="F98" s="35">
        <f>Budget!$J24*Budget!$AO24</f>
        <v>2090.7888046789321</v>
      </c>
      <c r="G98" s="35">
        <f>Budget!$J24*Budget!$AP24</f>
        <v>1031.4858827829901</v>
      </c>
      <c r="H98" s="35">
        <f>Budget!$J24*Budget!$AQ24</f>
        <v>1058.5511100280248</v>
      </c>
      <c r="I98" s="35">
        <f>Budget!$J24*Budget!$AR24</f>
        <v>4468.0179310344829</v>
      </c>
      <c r="J98" s="35">
        <f>Budget!$J24*Budget!$AS24</f>
        <v>6882.8376507859139</v>
      </c>
      <c r="K98" s="35">
        <f>Budget!$J24*Budget!$AT24</f>
        <v>9563.7987717801861</v>
      </c>
      <c r="L98" s="35">
        <f>Budget!$J24*Budget!$AU24</f>
        <v>771.35897648348964</v>
      </c>
      <c r="M98" s="35">
        <f t="shared" si="4"/>
        <v>30850.6</v>
      </c>
      <c r="N98" s="35">
        <f>M98-Budget!$J24</f>
        <v>0</v>
      </c>
    </row>
    <row r="99" spans="1:14">
      <c r="A99" s="24" t="str">
        <f>Budget!A25</f>
        <v>SC12</v>
      </c>
      <c r="B99" s="24" t="str">
        <f>Budget!B25</f>
        <v>Soft Costs</v>
      </c>
      <c r="C99" s="24" t="str">
        <f>Budget!C25</f>
        <v>MEP Engineering</v>
      </c>
      <c r="D99" s="35">
        <f>Budget!$J25*Budget!$AM25</f>
        <v>4681.1443802134672</v>
      </c>
      <c r="E99" s="35">
        <f>Budget!$J25*Budget!$AN25</f>
        <v>2655.4217928061053</v>
      </c>
      <c r="F99" s="35">
        <f>Budget!$J25*Budget!$AO25</f>
        <v>3405.8574035174947</v>
      </c>
      <c r="G99" s="35">
        <f>Budget!$J25*Budget!$AP25</f>
        <v>1259.8992762723969</v>
      </c>
      <c r="H99" s="35">
        <f>Budget!$J25*Budget!$AQ25</f>
        <v>1492.1339014715982</v>
      </c>
      <c r="I99" s="35">
        <f>Budget!$J25*Budget!$AR25</f>
        <v>3597.6054028282661</v>
      </c>
      <c r="J99" s="35">
        <f>Budget!$J25*Budget!$AS25</f>
        <v>4981.663665158515</v>
      </c>
      <c r="K99" s="35">
        <f>Budget!$J25*Budget!$AT25</f>
        <v>6571.4941600969705</v>
      </c>
      <c r="L99" s="35">
        <f>Budget!$J25*Budget!$AU25</f>
        <v>1767.2203506351857</v>
      </c>
      <c r="M99" s="35">
        <f t="shared" si="4"/>
        <v>30412.440332999999</v>
      </c>
      <c r="N99" s="35">
        <f>M99-Budget!$J25</f>
        <v>0</v>
      </c>
    </row>
    <row r="100" spans="1:14">
      <c r="A100" s="24" t="str">
        <f>Budget!A26</f>
        <v>SC13</v>
      </c>
      <c r="B100" s="24" t="str">
        <f>Budget!B26</f>
        <v>Soft Costs</v>
      </c>
      <c r="C100" s="24" t="str">
        <f>Budget!C26</f>
        <v>Sitegrid / Other QS</v>
      </c>
      <c r="D100" s="35">
        <f>Budget!$J26*Budget!$AM26</f>
        <v>920.49639629742762</v>
      </c>
      <c r="E100" s="35">
        <f>Budget!$J26*Budget!$AN26</f>
        <v>522.15996610987042</v>
      </c>
      <c r="F100" s="35">
        <f>Budget!$J26*Budget!$AO26</f>
        <v>669.72500986987347</v>
      </c>
      <c r="G100" s="35">
        <f>Budget!$J26*Budget!$AP26</f>
        <v>247.74556162132149</v>
      </c>
      <c r="H100" s="35">
        <f>Budget!$J26*Budget!$AQ26</f>
        <v>0</v>
      </c>
      <c r="I100" s="35">
        <f>Budget!$J26*Budget!$AR26</f>
        <v>0</v>
      </c>
      <c r="J100" s="35">
        <f>Budget!$J26*Budget!$AS26</f>
        <v>0</v>
      </c>
      <c r="K100" s="35">
        <f>Budget!$J26*Budget!$AT26</f>
        <v>0</v>
      </c>
      <c r="L100" s="35">
        <f>Budget!$J26*Budget!$AU26</f>
        <v>347.50476210455696</v>
      </c>
      <c r="M100" s="35">
        <f t="shared" si="4"/>
        <v>2707.6316960030499</v>
      </c>
      <c r="N100" s="35">
        <f>M100-Budget!$J26</f>
        <v>0</v>
      </c>
    </row>
    <row r="101" spans="1:14">
      <c r="A101" s="24" t="str">
        <f>Budget!A27</f>
        <v>PM01</v>
      </c>
      <c r="B101" s="24" t="str">
        <f>Budget!B27</f>
        <v>Project Management</v>
      </c>
      <c r="C101" s="24" t="str">
        <f>Budget!C27</f>
        <v>Staff</v>
      </c>
      <c r="D101" s="35">
        <f>Budget!$J27*Budget!$AM27</f>
        <v>42902.956772922924</v>
      </c>
      <c r="E101" s="35">
        <f>Budget!$J27*Budget!$AN27</f>
        <v>24337.0930561733</v>
      </c>
      <c r="F101" s="35">
        <f>Budget!$J27*Budget!$AO27</f>
        <v>31214.878476187318</v>
      </c>
      <c r="G101" s="35">
        <f>Budget!$J27*Budget!$AP27</f>
        <v>11547.049139656445</v>
      </c>
      <c r="H101" s="35">
        <f>Budget!$J27*Budget!$AQ27</f>
        <v>0</v>
      </c>
      <c r="I101" s="35">
        <f>Budget!$J27*Budget!$AR27</f>
        <v>0</v>
      </c>
      <c r="J101" s="35">
        <f>Budget!$J27*Budget!$AS27</f>
        <v>0</v>
      </c>
      <c r="K101" s="35">
        <f>Budget!$J27*Budget!$AT27</f>
        <v>0</v>
      </c>
      <c r="L101" s="35">
        <f>Budget!$J27*Budget!$AU27</f>
        <v>16196.675888060006</v>
      </c>
      <c r="M101" s="35">
        <f t="shared" si="4"/>
        <v>126198.65333299999</v>
      </c>
      <c r="N101" s="35">
        <f>M101-Budget!$J27</f>
        <v>0</v>
      </c>
    </row>
    <row r="102" spans="1:14">
      <c r="A102" s="24" t="str">
        <f>Budget!A28</f>
        <v>PM02</v>
      </c>
      <c r="B102" s="24" t="str">
        <f>Budget!B28</f>
        <v>Project Management</v>
      </c>
      <c r="C102" s="24" t="str">
        <f>Budget!C28</f>
        <v>A&amp;G Allocation</v>
      </c>
      <c r="D102" s="35">
        <f>Budget!$J28*Budget!$AM28</f>
        <v>308517.02647484984</v>
      </c>
      <c r="E102" s="35">
        <f>Budget!$J28*Budget!$AN28</f>
        <v>175009.09371987704</v>
      </c>
      <c r="F102" s="35">
        <f>Budget!$J28*Budget!$AO28</f>
        <v>224467.54754499876</v>
      </c>
      <c r="G102" s="35">
        <f>Budget!$J28*Budget!$AP28</f>
        <v>83035.3321329623</v>
      </c>
      <c r="H102" s="35">
        <f>Budget!$J28*Budget!$AQ28</f>
        <v>0</v>
      </c>
      <c r="I102" s="35">
        <f>Budget!$J28*Budget!$AR28</f>
        <v>0</v>
      </c>
      <c r="J102" s="35">
        <f>Budget!$J28*Budget!$AS28</f>
        <v>0</v>
      </c>
      <c r="K102" s="35">
        <f>Budget!$J28*Budget!$AT28</f>
        <v>0</v>
      </c>
      <c r="L102" s="35">
        <f>Budget!$J28*Budget!$AU28</f>
        <v>116471.00012731209</v>
      </c>
      <c r="M102" s="35">
        <f t="shared" si="4"/>
        <v>907500</v>
      </c>
      <c r="N102" s="35">
        <f>M102-Budget!$J28</f>
        <v>0</v>
      </c>
    </row>
    <row r="103" spans="1:14">
      <c r="A103" s="24" t="str">
        <f>Budget!A29</f>
        <v>PM03</v>
      </c>
      <c r="B103" s="24" t="str">
        <f>Budget!B29</f>
        <v>Project Management</v>
      </c>
      <c r="C103" s="24" t="str">
        <f>Budget!C29</f>
        <v>Project Management</v>
      </c>
      <c r="D103" s="35">
        <f>Budget!$J29*Budget!$AM29</f>
        <v>80.095372672933607</v>
      </c>
      <c r="E103" s="35">
        <f>Budget!$J29*Budget!$AN29</f>
        <v>45.43482978171582</v>
      </c>
      <c r="F103" s="35">
        <f>Budget!$J29*Budget!$AO29</f>
        <v>58.27494216129346</v>
      </c>
      <c r="G103" s="35">
        <f>Budget!$J29*Budget!$AP29</f>
        <v>21.557143695447227</v>
      </c>
      <c r="H103" s="35">
        <f>Budget!$J29*Budget!$AQ29</f>
        <v>0</v>
      </c>
      <c r="I103" s="35">
        <f>Budget!$J29*Budget!$AR29</f>
        <v>0</v>
      </c>
      <c r="J103" s="35">
        <f>Budget!$J29*Budget!$AS29</f>
        <v>0</v>
      </c>
      <c r="K103" s="35">
        <f>Budget!$J29*Budget!$AT29</f>
        <v>0</v>
      </c>
      <c r="L103" s="35">
        <f>Budget!$J29*Budget!$AU29</f>
        <v>30.237514821720339</v>
      </c>
      <c r="M103" s="35">
        <f t="shared" si="4"/>
        <v>235.59980313311044</v>
      </c>
      <c r="N103" s="35">
        <f>M103-Budget!$J29</f>
        <v>0</v>
      </c>
    </row>
    <row r="104" spans="1:14">
      <c r="A104" s="24" t="str">
        <f>Budget!A30</f>
        <v>PM04</v>
      </c>
      <c r="B104" s="24" t="str">
        <f>Budget!B30</f>
        <v>Contingency</v>
      </c>
      <c r="C104" s="24" t="str">
        <f>Budget!C30</f>
        <v>Contingency</v>
      </c>
      <c r="D104" s="35">
        <f>Budget!$J30*Budget!$AM30</f>
        <v>405335.14528953854</v>
      </c>
      <c r="E104" s="35">
        <f>Budget!$J30*Budget!$AN30</f>
        <v>229930.05358723568</v>
      </c>
      <c r="F104" s="35">
        <f>Budget!$J30*Budget!$AO30</f>
        <v>294909.44806689781</v>
      </c>
      <c r="G104" s="35">
        <f>Budget!$J30*Budget!$AP30</f>
        <v>109093.29316067124</v>
      </c>
      <c r="H104" s="35">
        <f>Budget!$J30*Budget!$AQ30</f>
        <v>0</v>
      </c>
      <c r="I104" s="35">
        <f>Budget!$J30*Budget!$AR30</f>
        <v>0</v>
      </c>
      <c r="J104" s="35">
        <f>Budget!$J30*Budget!$AS30</f>
        <v>0</v>
      </c>
      <c r="K104" s="35">
        <f>Budget!$J30*Budget!$AT30</f>
        <v>0</v>
      </c>
      <c r="L104" s="35">
        <f>Budget!$J30*Budget!$AU30</f>
        <v>153021.66722545677</v>
      </c>
      <c r="M104" s="35">
        <f t="shared" si="4"/>
        <v>1192289.6073298</v>
      </c>
      <c r="N104" s="35">
        <f>M104-Budget!$J30</f>
        <v>0</v>
      </c>
    </row>
    <row r="105" spans="1:14">
      <c r="A105" s="24" t="str">
        <f>Budget!A31</f>
        <v>HC08</v>
      </c>
      <c r="B105" s="24" t="str">
        <f>Budget!B31</f>
        <v>Hard Costs</v>
      </c>
      <c r="C105" s="24" t="str">
        <f>Budget!C31</f>
        <v>Interior Cost</v>
      </c>
      <c r="D105" s="35">
        <f>Budget!$J31*Budget!$AM31</f>
        <v>142688</v>
      </c>
      <c r="E105" s="35">
        <f>Budget!$J31*Budget!$AN31</f>
        <v>105074.666667</v>
      </c>
      <c r="F105" s="35">
        <f>Budget!$J31*Budget!$AO31</f>
        <v>141353.33333299999</v>
      </c>
      <c r="G105" s="35">
        <f>Budget!$J31*Budget!$AP31</f>
        <v>77868</v>
      </c>
      <c r="H105" s="35">
        <f>Budget!$J31*Budget!$AQ31</f>
        <v>0</v>
      </c>
      <c r="I105" s="35">
        <f>Budget!$J31*Budget!$AR31</f>
        <v>0</v>
      </c>
      <c r="J105" s="35">
        <f>Budget!$J31*Budget!$AS31</f>
        <v>0</v>
      </c>
      <c r="K105" s="35">
        <f>Budget!$J31*Budget!$AT31</f>
        <v>0</v>
      </c>
      <c r="L105" s="35">
        <f>Budget!$J31*Budget!$AU31</f>
        <v>92829.333333000002</v>
      </c>
      <c r="M105" s="35">
        <f t="shared" si="4"/>
        <v>559813.33333299996</v>
      </c>
      <c r="N105" s="35">
        <f>M105-Budget!$J31</f>
        <v>0</v>
      </c>
    </row>
    <row r="106" spans="1:14">
      <c r="A106" s="24" t="str">
        <f>Budget!A32</f>
        <v>LC01</v>
      </c>
      <c r="B106" s="24" t="str">
        <f>Budget!B32</f>
        <v>Land</v>
      </c>
      <c r="C106" s="24" t="str">
        <f>Budget!C32</f>
        <v>Land Costs</v>
      </c>
      <c r="D106" s="35">
        <f>Budget!$J32*Budget!$AM32</f>
        <v>69345</v>
      </c>
      <c r="E106" s="35">
        <f>Budget!$J32*Budget!$AN32</f>
        <v>30089.999999999996</v>
      </c>
      <c r="F106" s="35">
        <f>Budget!$J32*Budget!$AO32</f>
        <v>41715</v>
      </c>
      <c r="G106" s="35">
        <f>Budget!$J32*Budget!$AP32</f>
        <v>20580</v>
      </c>
      <c r="H106" s="35">
        <f>Budget!$J32*Budget!$AQ32</f>
        <v>0</v>
      </c>
      <c r="I106" s="35">
        <f>Budget!$J32*Budget!$AR32</f>
        <v>0</v>
      </c>
      <c r="J106" s="35">
        <f>Budget!$J32*Budget!$AS32</f>
        <v>0</v>
      </c>
      <c r="K106" s="35">
        <f>Budget!$J32*Budget!$AT32</f>
        <v>0</v>
      </c>
      <c r="L106" s="35">
        <f>Budget!$J32*Budget!$AU32</f>
        <v>15389.999999999998</v>
      </c>
      <c r="M106" s="35">
        <f t="shared" si="4"/>
        <v>177120</v>
      </c>
      <c r="N106" s="35">
        <f>M106-Budget!$J32</f>
        <v>0</v>
      </c>
    </row>
    <row r="107" spans="1:14">
      <c r="A107" s="24" t="str">
        <f>Budget!A33</f>
        <v>TX01</v>
      </c>
      <c r="B107" s="24" t="str">
        <f>Budget!B33</f>
        <v>Income Tax</v>
      </c>
      <c r="C107" s="24" t="str">
        <f>Budget!C33</f>
        <v>Income tax</v>
      </c>
      <c r="D107" s="35">
        <f>Budget!$J33*Budget!$AM33</f>
        <v>70000</v>
      </c>
      <c r="E107" s="35">
        <f>Budget!$J33*Budget!$AN33</f>
        <v>74262.551341989529</v>
      </c>
      <c r="F107" s="35">
        <f>Budget!$J33*Budget!$AO33</f>
        <v>66250.000000000015</v>
      </c>
      <c r="G107" s="35">
        <f>Budget!$J33*Budget!$AP33</f>
        <v>20000</v>
      </c>
      <c r="H107" s="35">
        <f>Budget!$J33*Budget!$AQ33</f>
        <v>0</v>
      </c>
      <c r="I107" s="35">
        <f>Budget!$J33*Budget!$AR33</f>
        <v>0</v>
      </c>
      <c r="J107" s="35">
        <f>Budget!$J33*Budget!$AS33</f>
        <v>0</v>
      </c>
      <c r="K107" s="35">
        <f>Budget!$J33*Budget!$AT33</f>
        <v>0</v>
      </c>
      <c r="L107" s="35">
        <f>Budget!$J33*Budget!$AU33</f>
        <v>49930.275000000001</v>
      </c>
      <c r="M107" s="35">
        <f t="shared" si="4"/>
        <v>280442.82634198957</v>
      </c>
      <c r="N107" s="35">
        <f>M107-Budget!$J33</f>
        <v>0</v>
      </c>
    </row>
    <row r="108" spans="1:14">
      <c r="A108" s="24" t="str">
        <f>Budget!A34</f>
        <v>TX02</v>
      </c>
      <c r="B108" s="24" t="str">
        <f>Budget!B34</f>
        <v>Sales Tax</v>
      </c>
      <c r="C108" s="24" t="str">
        <f>Budget!C34</f>
        <v>Sales VAT</v>
      </c>
      <c r="D108" s="35">
        <f>Budget!$J34*Budget!$AM34</f>
        <v>308000</v>
      </c>
      <c r="E108" s="35">
        <f>Budget!$J34*Budget!$AN34</f>
        <v>326755.2259047539</v>
      </c>
      <c r="F108" s="35">
        <f>Budget!$J34*Budget!$AO34</f>
        <v>291500.00000000006</v>
      </c>
      <c r="G108" s="35">
        <f>Budget!$J34*Budget!$AP34</f>
        <v>88000</v>
      </c>
      <c r="H108" s="35">
        <f>Budget!$J34*Budget!$AQ34</f>
        <v>0</v>
      </c>
      <c r="I108" s="35">
        <f>Budget!$J34*Budget!$AR34</f>
        <v>0</v>
      </c>
      <c r="J108" s="35">
        <f>Budget!$J34*Budget!$AS34</f>
        <v>0</v>
      </c>
      <c r="K108" s="35">
        <f>Budget!$J34*Budget!$AT34</f>
        <v>0</v>
      </c>
      <c r="L108" s="35">
        <f>Budget!$J34*Budget!$AU34</f>
        <v>219693.21000000002</v>
      </c>
      <c r="M108" s="35">
        <f t="shared" si="4"/>
        <v>1233948.4359047539</v>
      </c>
      <c r="N108" s="35">
        <f>M108-Budget!$J34</f>
        <v>0</v>
      </c>
    </row>
    <row r="109" spans="1:14">
      <c r="A109" s="24" t="str">
        <f>Budget!A35</f>
        <v>OC01</v>
      </c>
      <c r="B109" s="24" t="str">
        <f>Budget!B35</f>
        <v>Other Costs</v>
      </c>
      <c r="C109" s="24" t="str">
        <f>Budget!C35</f>
        <v>Bank fees</v>
      </c>
      <c r="D109" s="35">
        <f>Budget!$J35*Budget!$AM35</f>
        <v>0</v>
      </c>
      <c r="E109" s="35">
        <f>Budget!$J35*Budget!$AN35</f>
        <v>0</v>
      </c>
      <c r="F109" s="35">
        <f>Budget!$J35*Budget!$AO35</f>
        <v>0</v>
      </c>
      <c r="G109" s="35">
        <f>Budget!$J35*Budget!$AP35</f>
        <v>0</v>
      </c>
      <c r="H109" s="35">
        <f>Budget!$J35*Budget!$AQ35</f>
        <v>0</v>
      </c>
      <c r="I109" s="35">
        <f>Budget!$J35*Budget!$AR35</f>
        <v>0</v>
      </c>
      <c r="J109" s="35">
        <f>Budget!$J35*Budget!$AS35</f>
        <v>0</v>
      </c>
      <c r="K109" s="35">
        <f>Budget!$J35*Budget!$AT35</f>
        <v>0</v>
      </c>
      <c r="L109" s="35">
        <f>Budget!$J35*Budget!$AU35</f>
        <v>0</v>
      </c>
      <c r="M109" s="35">
        <f t="shared" si="4"/>
        <v>0</v>
      </c>
      <c r="N109" s="35">
        <f>M109-Budget!$J35</f>
        <v>0</v>
      </c>
    </row>
    <row r="110" spans="1:14">
      <c r="A110" s="24" t="str">
        <f>Budget!A36</f>
        <v>OC02</v>
      </c>
      <c r="B110" s="24" t="str">
        <f>Budget!B36</f>
        <v>Other Costs</v>
      </c>
      <c r="C110" s="24" t="str">
        <f>Budget!C36</f>
        <v>Withholding tax</v>
      </c>
      <c r="D110" s="35">
        <f>Budget!$J36*Budget!$AM36</f>
        <v>16.628395772547147</v>
      </c>
      <c r="E110" s="35">
        <f>Budget!$J36*Budget!$AN36</f>
        <v>9.4326089792199603</v>
      </c>
      <c r="F110" s="35">
        <f>Budget!$J36*Budget!$AO36</f>
        <v>12.098311919182059</v>
      </c>
      <c r="G110" s="35">
        <f>Budget!$J36*Budget!$AP36</f>
        <v>4.4754235498388493</v>
      </c>
      <c r="H110" s="35">
        <f>Budget!$J36*Budget!$AQ36</f>
        <v>0</v>
      </c>
      <c r="I110" s="35">
        <f>Budget!$J36*Budget!$AR36</f>
        <v>0</v>
      </c>
      <c r="J110" s="35">
        <f>Budget!$J36*Budget!$AS36</f>
        <v>0</v>
      </c>
      <c r="K110" s="35">
        <f>Budget!$J36*Budget!$AT36</f>
        <v>0</v>
      </c>
      <c r="L110" s="35">
        <f>Budget!$J36*Budget!$AU36</f>
        <v>6.2775332313765038</v>
      </c>
      <c r="M110" s="35">
        <f t="shared" si="4"/>
        <v>48.91227345216452</v>
      </c>
      <c r="N110" s="35">
        <f>M110-Budget!$J36</f>
        <v>0</v>
      </c>
    </row>
    <row r="111" spans="1:14">
      <c r="A111" s="24" t="str">
        <f>Budget!A37</f>
        <v>OC03</v>
      </c>
      <c r="B111" s="24" t="str">
        <f>Budget!B37</f>
        <v>Other Costs</v>
      </c>
      <c r="C111" s="24" t="str">
        <f>Budget!C37</f>
        <v>Miscellaneous</v>
      </c>
      <c r="D111" s="35">
        <f>Budget!$J37*Budget!$AM37</f>
        <v>213.77256630505224</v>
      </c>
      <c r="E111" s="35">
        <f>Budget!$J37*Budget!$AN37</f>
        <v>121.26443560893497</v>
      </c>
      <c r="F111" s="35">
        <f>Budget!$J37*Budget!$AO37</f>
        <v>155.53437759717104</v>
      </c>
      <c r="G111" s="35">
        <f>Budget!$J37*Budget!$AP37</f>
        <v>57.535482715093337</v>
      </c>
      <c r="H111" s="35">
        <f>Budget!$J37*Budget!$AQ37</f>
        <v>0</v>
      </c>
      <c r="I111" s="35">
        <f>Budget!$J37*Budget!$AR37</f>
        <v>0</v>
      </c>
      <c r="J111" s="35">
        <f>Budget!$J37*Budget!$AS37</f>
        <v>0</v>
      </c>
      <c r="K111" s="35">
        <f>Budget!$J37*Budget!$AT37</f>
        <v>0</v>
      </c>
      <c r="L111" s="35">
        <f>Budget!$J37*Budget!$AU37</f>
        <v>80.703178303714353</v>
      </c>
      <c r="M111" s="35">
        <f t="shared" si="4"/>
        <v>628.81004052996593</v>
      </c>
      <c r="N111" s="35">
        <f>M111-Budget!$J37</f>
        <v>0</v>
      </c>
    </row>
    <row r="112" spans="1:14">
      <c r="A112" s="25" t="str">
        <f>Budget!A38</f>
        <v>OC04</v>
      </c>
      <c r="B112" s="25" t="str">
        <f>Budget!B38</f>
        <v>Other Costs</v>
      </c>
      <c r="C112" s="25" t="str">
        <f>Budget!C38</f>
        <v>Unmapped</v>
      </c>
      <c r="D112" s="36">
        <f>Budget!$J38*Budget!$AM38</f>
        <v>0</v>
      </c>
      <c r="E112" s="36">
        <f>Budget!$J38*Budget!$AN38</f>
        <v>0</v>
      </c>
      <c r="F112" s="36">
        <f>Budget!$J38*Budget!$AO38</f>
        <v>0</v>
      </c>
      <c r="G112" s="36">
        <f>Budget!$J38*Budget!$AP38</f>
        <v>0</v>
      </c>
      <c r="H112" s="36">
        <f>Budget!$J38*Budget!$AQ38</f>
        <v>0</v>
      </c>
      <c r="I112" s="36">
        <f>Budget!$J38*Budget!$AR38</f>
        <v>0</v>
      </c>
      <c r="J112" s="36">
        <f>Budget!$J38*Budget!$AS38</f>
        <v>0</v>
      </c>
      <c r="K112" s="36">
        <f>Budget!$J38*Budget!$AT38</f>
        <v>0</v>
      </c>
      <c r="L112" s="36">
        <f>Budget!$J38*Budget!$AU38</f>
        <v>0</v>
      </c>
      <c r="M112" s="36">
        <f t="shared" si="4"/>
        <v>0</v>
      </c>
      <c r="N112" s="36">
        <f>M112-Budget!$J38</f>
        <v>0</v>
      </c>
    </row>
    <row r="113" spans="1:14" ht="13.9">
      <c r="A113" s="175" t="s">
        <v>184</v>
      </c>
      <c r="B113" s="175"/>
      <c r="C113" s="175"/>
      <c r="D113" s="76">
        <f t="shared" ref="D113:N113" si="5">SUM(D81:D112)</f>
        <v>3318574.4120344068</v>
      </c>
      <c r="E113" s="76">
        <f t="shared" si="5"/>
        <v>2252317.0995566412</v>
      </c>
      <c r="F113" s="76">
        <f t="shared" si="5"/>
        <v>2849616.9426299552</v>
      </c>
      <c r="G113" s="76">
        <f t="shared" si="5"/>
        <v>1160716.0866966699</v>
      </c>
      <c r="H113" s="76">
        <f t="shared" si="5"/>
        <v>40919.294999699792</v>
      </c>
      <c r="I113" s="76">
        <f t="shared" si="5"/>
        <v>109021.55107697971</v>
      </c>
      <c r="J113" s="76">
        <f t="shared" si="5"/>
        <v>154728.29131731359</v>
      </c>
      <c r="K113" s="76">
        <f t="shared" si="5"/>
        <v>206727.99042248784</v>
      </c>
      <c r="L113" s="76">
        <f t="shared" si="5"/>
        <v>1392191.3415381752</v>
      </c>
      <c r="M113" s="76">
        <f t="shared" si="5"/>
        <v>11484813.010272332</v>
      </c>
      <c r="N113" s="76">
        <f t="shared" si="5"/>
        <v>0</v>
      </c>
    </row>
  </sheetData>
  <mergeCells count="8">
    <mergeCell ref="A76:C76"/>
    <mergeCell ref="A80:N80"/>
    <mergeCell ref="A113:C113"/>
    <mergeCell ref="A1:N1"/>
    <mergeCell ref="A2:N2"/>
    <mergeCell ref="A6:N6"/>
    <mergeCell ref="A39:C39"/>
    <mergeCell ref="A43:N43"/>
  </mergeCells>
  <conditionalFormatting sqref="N7:N38">
    <cfRule type="cellIs" dxfId="27" priority="1" operator="notEqual">
      <formula>0</formula>
    </cfRule>
  </conditionalFormatting>
  <conditionalFormatting sqref="N44:N75">
    <cfRule type="cellIs" dxfId="26" priority="2" operator="notEqual">
      <formula>0</formula>
    </cfRule>
  </conditionalFormatting>
  <conditionalFormatting sqref="N81:N112">
    <cfRule type="cellIs" dxfId="25" priority="3" operator="notEqual">
      <formula>0</formula>
    </cfRule>
  </conditionalFormatting>
  <hyperlinks>
    <hyperlink ref="J1" location="Cover!A1" tooltip="Back to Cover" display="← Back to Cover" xr:uid="{F5E0BED8-5C06-4AA8-939A-1F030B520F38}"/>
    <hyperlink ref="N1" location="Cover!A1" tooltip="Back to Cover" display="← Back to Cover" xr:uid="{A18F64DB-87B4-4D67-8C8A-5D678FE35D71}"/>
    <hyperlink ref="N4" location="Cover!A1" tooltip="Back to Cover" display="← Back to Cover" xr:uid="{83855922-3C85-461B-8CD0-F204A24EC0D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Q25"/>
  <sheetViews>
    <sheetView showGridLines="0" workbookViewId="0">
      <selection activeCell="K36" sqref="K36"/>
    </sheetView>
  </sheetViews>
  <sheetFormatPr defaultRowHeight="13.5" outlineLevelRow="1"/>
  <cols>
    <col min="1" max="1" width="10" customWidth="1"/>
    <col min="2" max="2" width="18" customWidth="1"/>
    <col min="3" max="3" width="25" customWidth="1"/>
    <col min="4" max="4" width="20" customWidth="1"/>
    <col min="5" max="6" width="17" customWidth="1"/>
    <col min="7" max="10" width="14" customWidth="1"/>
    <col min="11" max="13" width="18" customWidth="1"/>
    <col min="14" max="17" width="14" customWidth="1"/>
  </cols>
  <sheetData>
    <row r="1" spans="1:17" ht="30" customHeight="1">
      <c r="A1" s="146" t="s">
        <v>187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49"/>
      <c r="O1" s="147"/>
      <c r="P1" s="147"/>
      <c r="Q1" s="147"/>
    </row>
    <row r="2" spans="1:17" ht="28.15" customHeight="1">
      <c r="A2" s="150" t="s">
        <v>188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</row>
    <row r="4" spans="1:17" ht="13.9">
      <c r="N4" s="123" t="s">
        <v>99</v>
      </c>
    </row>
    <row r="5" spans="1:17" ht="30" customHeight="1">
      <c r="A5" s="2" t="s">
        <v>189</v>
      </c>
      <c r="B5" s="3" t="s">
        <v>190</v>
      </c>
      <c r="C5" s="3" t="s">
        <v>108</v>
      </c>
      <c r="D5" s="3" t="s">
        <v>191</v>
      </c>
      <c r="E5" s="3" t="s">
        <v>192</v>
      </c>
      <c r="F5" s="3" t="s">
        <v>193</v>
      </c>
      <c r="G5" s="3" t="s">
        <v>194</v>
      </c>
      <c r="H5" s="3" t="s">
        <v>195</v>
      </c>
      <c r="I5" s="3" t="s">
        <v>196</v>
      </c>
      <c r="J5" s="3" t="s">
        <v>197</v>
      </c>
      <c r="K5" s="3" t="s">
        <v>198</v>
      </c>
      <c r="L5" s="3" t="s">
        <v>199</v>
      </c>
      <c r="M5" s="3" t="s">
        <v>200</v>
      </c>
      <c r="N5" s="3" t="s">
        <v>201</v>
      </c>
      <c r="O5" s="3" t="s">
        <v>202</v>
      </c>
      <c r="P5" s="3" t="s">
        <v>203</v>
      </c>
      <c r="Q5" s="4" t="s">
        <v>204</v>
      </c>
    </row>
    <row r="6" spans="1:17">
      <c r="A6" s="5" t="s">
        <v>205</v>
      </c>
      <c r="B6" s="5" t="s">
        <v>206</v>
      </c>
      <c r="C6" s="5" t="s">
        <v>132</v>
      </c>
      <c r="D6" s="20" t="s">
        <v>207</v>
      </c>
      <c r="E6" s="20" t="s">
        <v>208</v>
      </c>
      <c r="F6" s="20" t="s">
        <v>209</v>
      </c>
      <c r="G6" s="26">
        <v>858.7</v>
      </c>
      <c r="H6" s="26">
        <v>823.6</v>
      </c>
      <c r="I6" s="27">
        <f t="shared" ref="I6:I14" si="0">G6+H6</f>
        <v>1682.3000000000002</v>
      </c>
      <c r="J6" s="26">
        <v>4623</v>
      </c>
      <c r="K6" s="32">
        <v>2800000</v>
      </c>
      <c r="L6" s="32">
        <v>300000</v>
      </c>
      <c r="M6" s="33">
        <f>K6*(1+Inputs!$B$7)</f>
        <v>3108000.0000000005</v>
      </c>
      <c r="N6" s="37">
        <f t="shared" ref="N6:N14" si="1">G6/SUM($G$6:$G$14)</f>
        <v>0.15050231703811717</v>
      </c>
      <c r="O6" s="37">
        <f t="shared" ref="O6:O14" si="2">H6/SUM($H$6:$H$14)</f>
        <v>0.15765696784073507</v>
      </c>
      <c r="P6" s="37">
        <f t="shared" ref="P6:P14" si="3">I6/SUM($I$6:$I$14)</f>
        <v>0.15392202430838939</v>
      </c>
      <c r="Q6" s="37">
        <f t="shared" ref="Q6:Q14" si="4">J6/SUM($J$6:$J$14)</f>
        <v>0.11265992445473376</v>
      </c>
    </row>
    <row r="7" spans="1:17">
      <c r="A7" s="6" t="s">
        <v>210</v>
      </c>
      <c r="B7" s="6" t="s">
        <v>206</v>
      </c>
      <c r="C7" s="6" t="s">
        <v>133</v>
      </c>
      <c r="D7" s="21" t="s">
        <v>211</v>
      </c>
      <c r="E7" s="21" t="s">
        <v>208</v>
      </c>
      <c r="F7" s="21" t="s">
        <v>209</v>
      </c>
      <c r="G7" s="28">
        <v>545.6</v>
      </c>
      <c r="H7" s="28">
        <v>408.7</v>
      </c>
      <c r="I7" s="29">
        <f t="shared" si="0"/>
        <v>954.3</v>
      </c>
      <c r="J7" s="28">
        <v>2006</v>
      </c>
      <c r="K7" s="34">
        <v>2970502.0536795808</v>
      </c>
      <c r="L7" s="34">
        <v>0</v>
      </c>
      <c r="M7" s="35">
        <f>K7*(1+Inputs!$B$7)</f>
        <v>3297257.2795843352</v>
      </c>
      <c r="N7" s="8">
        <f t="shared" si="1"/>
        <v>9.5626020933966147E-2</v>
      </c>
      <c r="O7" s="8">
        <f t="shared" si="2"/>
        <v>7.8235068912710565E-2</v>
      </c>
      <c r="P7" s="8">
        <f t="shared" si="3"/>
        <v>8.7313670449679581E-2</v>
      </c>
      <c r="Q7" s="8">
        <f t="shared" si="4"/>
        <v>4.8885098086998903E-2</v>
      </c>
    </row>
    <row r="8" spans="1:17">
      <c r="A8" s="6" t="s">
        <v>212</v>
      </c>
      <c r="B8" s="6" t="s">
        <v>206</v>
      </c>
      <c r="C8" s="6" t="s">
        <v>134</v>
      </c>
      <c r="D8" s="21" t="s">
        <v>213</v>
      </c>
      <c r="E8" s="21" t="s">
        <v>208</v>
      </c>
      <c r="F8" s="21" t="s">
        <v>209</v>
      </c>
      <c r="G8" s="28">
        <v>589.69000000000005</v>
      </c>
      <c r="H8" s="28">
        <v>634.29999999999995</v>
      </c>
      <c r="I8" s="29">
        <f t="shared" si="0"/>
        <v>1223.99</v>
      </c>
      <c r="J8" s="28">
        <v>2781</v>
      </c>
      <c r="K8" s="34">
        <v>2650000</v>
      </c>
      <c r="L8" s="34">
        <v>0</v>
      </c>
      <c r="M8" s="35">
        <f>K8*(1+Inputs!$B$7)</f>
        <v>2941500.0000000005</v>
      </c>
      <c r="N8" s="8">
        <f t="shared" si="1"/>
        <v>0.10335357090276852</v>
      </c>
      <c r="O8" s="8">
        <f t="shared" si="2"/>
        <v>0.12142036753445634</v>
      </c>
      <c r="P8" s="8">
        <f t="shared" si="3"/>
        <v>0.11198895472461838</v>
      </c>
      <c r="Q8" s="8">
        <f t="shared" si="4"/>
        <v>6.7771414646033867E-2</v>
      </c>
    </row>
    <row r="9" spans="1:17">
      <c r="A9" s="6" t="s">
        <v>214</v>
      </c>
      <c r="B9" s="6" t="s">
        <v>206</v>
      </c>
      <c r="C9" s="6" t="s">
        <v>135</v>
      </c>
      <c r="D9" s="21" t="s">
        <v>215</v>
      </c>
      <c r="E9" s="21" t="s">
        <v>208</v>
      </c>
      <c r="F9" s="21" t="s">
        <v>209</v>
      </c>
      <c r="G9" s="28">
        <v>288.77999999999997</v>
      </c>
      <c r="H9" s="28">
        <v>164</v>
      </c>
      <c r="I9" s="29">
        <f t="shared" si="0"/>
        <v>452.78</v>
      </c>
      <c r="J9" s="28">
        <v>1372</v>
      </c>
      <c r="K9" s="34">
        <v>800000</v>
      </c>
      <c r="L9" s="34">
        <v>550000</v>
      </c>
      <c r="M9" s="35">
        <f>K9*(1+Inputs!$B$7)</f>
        <v>888000.00000000012</v>
      </c>
      <c r="N9" s="8">
        <f t="shared" si="1"/>
        <v>5.061378725313552E-2</v>
      </c>
      <c r="O9" s="8">
        <f t="shared" si="2"/>
        <v>3.139356814701378E-2</v>
      </c>
      <c r="P9" s="8">
        <f t="shared" si="3"/>
        <v>4.1427102280421166E-2</v>
      </c>
      <c r="Q9" s="8">
        <f t="shared" si="4"/>
        <v>3.3434872669672232E-2</v>
      </c>
    </row>
    <row r="10" spans="1:17">
      <c r="A10" s="6" t="s">
        <v>216</v>
      </c>
      <c r="B10" s="6" t="s">
        <v>206</v>
      </c>
      <c r="C10" s="6" t="s">
        <v>136</v>
      </c>
      <c r="D10" s="21"/>
      <c r="E10" s="21" t="s">
        <v>217</v>
      </c>
      <c r="F10" s="21" t="s">
        <v>218</v>
      </c>
      <c r="G10" s="28">
        <v>328.04</v>
      </c>
      <c r="H10" s="28">
        <v>208.2</v>
      </c>
      <c r="I10" s="29">
        <f t="shared" si="0"/>
        <v>536.24</v>
      </c>
      <c r="J10" s="28">
        <v>1408</v>
      </c>
      <c r="K10" s="34">
        <v>0</v>
      </c>
      <c r="L10" s="34">
        <v>0</v>
      </c>
      <c r="M10" s="35">
        <f>K10*(1+Inputs!$B$7)</f>
        <v>0</v>
      </c>
      <c r="N10" s="8">
        <f t="shared" si="1"/>
        <v>5.7494794551279794E-2</v>
      </c>
      <c r="O10" s="8">
        <f t="shared" si="2"/>
        <v>3.9854517611026034E-2</v>
      </c>
      <c r="P10" s="8">
        <f t="shared" si="3"/>
        <v>4.9063274276366114E-2</v>
      </c>
      <c r="Q10" s="8">
        <f t="shared" si="4"/>
        <v>3.4312172535640305E-2</v>
      </c>
    </row>
    <row r="11" spans="1:17">
      <c r="A11" s="6" t="s">
        <v>219</v>
      </c>
      <c r="B11" s="6" t="s">
        <v>220</v>
      </c>
      <c r="C11" s="6" t="s">
        <v>137</v>
      </c>
      <c r="D11" s="21"/>
      <c r="E11" s="21" t="s">
        <v>217</v>
      </c>
      <c r="F11" s="21" t="s">
        <v>218</v>
      </c>
      <c r="G11" s="28">
        <v>686.4</v>
      </c>
      <c r="H11" s="28">
        <v>606.5</v>
      </c>
      <c r="I11" s="29">
        <f t="shared" si="0"/>
        <v>1292.9000000000001</v>
      </c>
      <c r="J11" s="28">
        <v>5943</v>
      </c>
      <c r="K11" s="34">
        <v>0</v>
      </c>
      <c r="L11" s="34">
        <v>0</v>
      </c>
      <c r="M11" s="35">
        <f>K11*(1+Inputs!$B$7)</f>
        <v>0</v>
      </c>
      <c r="N11" s="8">
        <f t="shared" si="1"/>
        <v>0.12030370375563482</v>
      </c>
      <c r="O11" s="8">
        <f t="shared" si="2"/>
        <v>0.11609877488514549</v>
      </c>
      <c r="P11" s="8">
        <f t="shared" si="3"/>
        <v>0.11829387459330477</v>
      </c>
      <c r="Q11" s="8">
        <f t="shared" si="4"/>
        <v>0.14482758620689656</v>
      </c>
    </row>
    <row r="12" spans="1:17">
      <c r="A12" s="6" t="s">
        <v>221</v>
      </c>
      <c r="B12" s="6" t="s">
        <v>220</v>
      </c>
      <c r="C12" s="6" t="s">
        <v>138</v>
      </c>
      <c r="D12" s="21"/>
      <c r="E12" s="21" t="s">
        <v>217</v>
      </c>
      <c r="F12" s="21" t="s">
        <v>218</v>
      </c>
      <c r="G12" s="28">
        <v>929.4</v>
      </c>
      <c r="H12" s="28">
        <v>860.9</v>
      </c>
      <c r="I12" s="29">
        <f t="shared" si="0"/>
        <v>1790.3</v>
      </c>
      <c r="J12" s="28">
        <v>9155</v>
      </c>
      <c r="K12" s="34">
        <v>0</v>
      </c>
      <c r="L12" s="34">
        <v>0</v>
      </c>
      <c r="M12" s="35">
        <f>K12*(1+Inputs!$B$7)</f>
        <v>0</v>
      </c>
      <c r="N12" s="8">
        <f t="shared" si="1"/>
        <v>0.16289373873905449</v>
      </c>
      <c r="O12" s="8">
        <f t="shared" si="2"/>
        <v>0.16479709035222051</v>
      </c>
      <c r="P12" s="8">
        <f t="shared" si="3"/>
        <v>0.16380348339731884</v>
      </c>
      <c r="Q12" s="8">
        <f t="shared" si="4"/>
        <v>0.22310222980382599</v>
      </c>
    </row>
    <row r="13" spans="1:17">
      <c r="A13" s="6" t="s">
        <v>222</v>
      </c>
      <c r="B13" s="6" t="s">
        <v>220</v>
      </c>
      <c r="C13" s="6" t="s">
        <v>139</v>
      </c>
      <c r="D13" s="21"/>
      <c r="E13" s="21" t="s">
        <v>217</v>
      </c>
      <c r="F13" s="21" t="s">
        <v>218</v>
      </c>
      <c r="G13" s="28">
        <v>1129.3499999999999</v>
      </c>
      <c r="H13" s="28">
        <v>1232.3</v>
      </c>
      <c r="I13" s="29">
        <f t="shared" si="0"/>
        <v>2361.6499999999996</v>
      </c>
      <c r="J13" s="28">
        <v>12721</v>
      </c>
      <c r="K13" s="34">
        <v>0</v>
      </c>
      <c r="L13" s="34">
        <v>0</v>
      </c>
      <c r="M13" s="35">
        <f>K13*(1+Inputs!$B$7)</f>
        <v>0</v>
      </c>
      <c r="N13" s="8">
        <f t="shared" si="1"/>
        <v>0.19793850209269548</v>
      </c>
      <c r="O13" s="8">
        <f t="shared" si="2"/>
        <v>0.23589203675344564</v>
      </c>
      <c r="P13" s="8">
        <f t="shared" si="3"/>
        <v>0.21607914682750265</v>
      </c>
      <c r="Q13" s="8">
        <f t="shared" si="4"/>
        <v>0.31000365541610819</v>
      </c>
    </row>
    <row r="14" spans="1:17">
      <c r="A14" s="7" t="s">
        <v>223</v>
      </c>
      <c r="B14" s="7" t="s">
        <v>206</v>
      </c>
      <c r="C14" s="7" t="s">
        <v>140</v>
      </c>
      <c r="D14" s="22" t="s">
        <v>224</v>
      </c>
      <c r="E14" s="22" t="s">
        <v>224</v>
      </c>
      <c r="F14" s="22" t="s">
        <v>209</v>
      </c>
      <c r="G14" s="30">
        <v>349.6</v>
      </c>
      <c r="H14" s="30">
        <v>285.5</v>
      </c>
      <c r="I14" s="31">
        <f t="shared" si="0"/>
        <v>635.1</v>
      </c>
      <c r="J14" s="30">
        <v>1026</v>
      </c>
      <c r="K14" s="14">
        <v>1997211</v>
      </c>
      <c r="L14" s="14">
        <v>0</v>
      </c>
      <c r="M14" s="36">
        <f>K14*(1+Inputs!$B$7)</f>
        <v>2216904.21</v>
      </c>
      <c r="N14" s="38">
        <f t="shared" si="1"/>
        <v>6.1273564733347809E-2</v>
      </c>
      <c r="O14" s="38">
        <f t="shared" si="2"/>
        <v>5.4651607963246557E-2</v>
      </c>
      <c r="P14" s="38">
        <f t="shared" si="3"/>
        <v>5.8108469142399151E-2</v>
      </c>
      <c r="Q14" s="38">
        <f t="shared" si="4"/>
        <v>2.5003046180090166E-2</v>
      </c>
    </row>
    <row r="17" spans="1:5" hidden="1" outlineLevel="1">
      <c r="A17" s="151" t="s">
        <v>225</v>
      </c>
      <c r="B17" s="151" t="s">
        <v>225</v>
      </c>
      <c r="C17" s="151" t="s">
        <v>225</v>
      </c>
      <c r="D17" s="151" t="s">
        <v>225</v>
      </c>
      <c r="E17" s="151" t="s">
        <v>225</v>
      </c>
    </row>
    <row r="18" spans="1:5" ht="30" hidden="1" customHeight="1" outlineLevel="1">
      <c r="A18" s="2" t="s">
        <v>182</v>
      </c>
      <c r="B18" s="3" t="s">
        <v>166</v>
      </c>
      <c r="C18" s="3" t="s">
        <v>226</v>
      </c>
      <c r="D18" s="3" t="s">
        <v>227</v>
      </c>
      <c r="E18" s="4" t="s">
        <v>192</v>
      </c>
    </row>
    <row r="19" spans="1:5" hidden="1" outlineLevel="1">
      <c r="A19" s="5" t="s">
        <v>201</v>
      </c>
      <c r="B19" s="39">
        <f>SUM(N$6:N$14)</f>
        <v>0.99999999999999989</v>
      </c>
      <c r="C19" s="39">
        <v>1</v>
      </c>
      <c r="D19" s="39">
        <f>B19-C19</f>
        <v>0</v>
      </c>
      <c r="E19" s="5" t="str">
        <f>IF(ABS(D19)&lt;0.0001,"PASS","FAIL")</f>
        <v>PASS</v>
      </c>
    </row>
    <row r="20" spans="1:5" hidden="1" outlineLevel="1">
      <c r="A20" s="6" t="s">
        <v>202</v>
      </c>
      <c r="B20" s="40">
        <f>SUM(O$6:O$14)</f>
        <v>0.99999999999999989</v>
      </c>
      <c r="C20" s="40">
        <v>1</v>
      </c>
      <c r="D20" s="40">
        <f>B20-C20</f>
        <v>0</v>
      </c>
      <c r="E20" s="6" t="str">
        <f>IF(ABS(D20)&lt;0.0001,"PASS","FAIL")</f>
        <v>PASS</v>
      </c>
    </row>
    <row r="21" spans="1:5" hidden="1" outlineLevel="1">
      <c r="A21" s="6" t="s">
        <v>203</v>
      </c>
      <c r="B21" s="40">
        <f>SUM(P$6:P$14)</f>
        <v>1</v>
      </c>
      <c r="C21" s="40">
        <v>1</v>
      </c>
      <c r="D21" s="40">
        <f>B21-C21</f>
        <v>0</v>
      </c>
      <c r="E21" s="6" t="str">
        <f>IF(ABS(D21)&lt;0.0001,"PASS","FAIL")</f>
        <v>PASS</v>
      </c>
    </row>
    <row r="22" spans="1:5" hidden="1" outlineLevel="1">
      <c r="A22" s="6" t="s">
        <v>204</v>
      </c>
      <c r="B22" s="40">
        <f>SUM(Q$6:Q$14)</f>
        <v>1</v>
      </c>
      <c r="C22" s="40">
        <v>1</v>
      </c>
      <c r="D22" s="40">
        <f>B22-C22</f>
        <v>0</v>
      </c>
      <c r="E22" s="6" t="str">
        <f>IF(ABS(D22)&lt;0.0001,"PASS","FAIL")</f>
        <v>PASS</v>
      </c>
    </row>
    <row r="23" spans="1:5" hidden="1" outlineLevel="1">
      <c r="A23" s="7" t="s">
        <v>228</v>
      </c>
      <c r="B23" s="7">
        <f>COUNTIF(F$6:F$14,"Yes")</f>
        <v>5</v>
      </c>
      <c r="C23" s="7">
        <v>5</v>
      </c>
      <c r="D23" s="7">
        <f>B23-C23</f>
        <v>0</v>
      </c>
      <c r="E23" s="7" t="str">
        <f>IF(D23=0,"PASS","FAIL")</f>
        <v>PASS</v>
      </c>
    </row>
    <row r="24" spans="1:5" hidden="1" outlineLevel="1"/>
    <row r="25" spans="1:5" collapsed="1"/>
  </sheetData>
  <mergeCells count="3">
    <mergeCell ref="A1:Q1"/>
    <mergeCell ref="A2:Q2"/>
    <mergeCell ref="A17:E17"/>
  </mergeCells>
  <conditionalFormatting sqref="E19:E23">
    <cfRule type="containsText" dxfId="24" priority="1" operator="containsText" text="PASS"/>
    <cfRule type="containsText" dxfId="23" priority="2" operator="containsText" text="FAIL"/>
    <cfRule type="containsText" dxfId="22" priority="3" operator="containsText" text="WARNING"/>
  </conditionalFormatting>
  <dataValidations count="2">
    <dataValidation type="list" sqref="E6:E14" xr:uid="{00000000-0002-0000-0200-000000000000}">
      <formula1>"Sold / Contracted,TBD,Unsold"</formula1>
    </dataValidation>
    <dataValidation type="list" sqref="F6:F14" xr:uid="{00000000-0002-0000-0200-000001000000}">
      <formula1>"Yes,No"</formula1>
    </dataValidation>
  </dataValidations>
  <hyperlinks>
    <hyperlink ref="J1" location="Cover!A1" tooltip="Back to Cover" display="← Back to Cover" xr:uid="{7EF2B4B9-93ED-4780-AB7B-8092933DBE70}"/>
    <hyperlink ref="N1" location="Cover!A1" tooltip="Back to Cover" display="Cover!A1" xr:uid="{FDEB8F4E-D91B-42BA-A364-707DAFE169E0}"/>
    <hyperlink ref="N4" location="Cover!A1" tooltip="Back to Cover" display="← Back to Cover" xr:uid="{92C76BB6-65D3-4615-A4F1-64B5B267879F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N55"/>
  <sheetViews>
    <sheetView showGridLines="0" topLeftCell="A12" workbookViewId="0">
      <selection activeCell="D48" sqref="D48"/>
    </sheetView>
  </sheetViews>
  <sheetFormatPr defaultRowHeight="13.5"/>
  <cols>
    <col min="1" max="1" width="25" customWidth="1"/>
    <col min="2" max="2" width="12" customWidth="1"/>
    <col min="3" max="4" width="16" customWidth="1"/>
    <col min="5" max="8" width="20" customWidth="1"/>
    <col min="9" max="9" width="14" customWidth="1"/>
  </cols>
  <sheetData>
    <row r="1" spans="1:14" ht="30" customHeight="1">
      <c r="A1" s="146" t="s">
        <v>229</v>
      </c>
      <c r="B1" s="147"/>
      <c r="C1" s="147"/>
      <c r="D1" s="147"/>
      <c r="E1" s="147"/>
      <c r="F1" s="147"/>
      <c r="G1" s="147"/>
      <c r="H1" s="147"/>
      <c r="I1" s="147"/>
      <c r="J1" s="124" t="s">
        <v>99</v>
      </c>
      <c r="N1" s="125"/>
    </row>
    <row r="2" spans="1:14" ht="28.15" customHeight="1">
      <c r="A2" s="150" t="s">
        <v>230</v>
      </c>
      <c r="B2" s="147"/>
      <c r="C2" s="147"/>
      <c r="D2" s="147"/>
      <c r="E2" s="147"/>
      <c r="F2" s="147"/>
      <c r="G2" s="147"/>
      <c r="H2" s="147"/>
      <c r="I2" s="147"/>
    </row>
    <row r="4" spans="1:14" ht="13.9">
      <c r="N4" s="123" t="s">
        <v>99</v>
      </c>
    </row>
    <row r="5" spans="1:14" ht="30" customHeight="1">
      <c r="A5" s="2" t="s">
        <v>108</v>
      </c>
      <c r="B5" s="3" t="s">
        <v>231</v>
      </c>
      <c r="C5" s="3" t="s">
        <v>232</v>
      </c>
      <c r="D5" s="3" t="s">
        <v>233</v>
      </c>
      <c r="E5" s="3" t="s">
        <v>234</v>
      </c>
      <c r="F5" s="3" t="s">
        <v>235</v>
      </c>
      <c r="G5" s="3" t="s">
        <v>236</v>
      </c>
      <c r="H5" s="3" t="s">
        <v>237</v>
      </c>
      <c r="I5" s="4" t="s">
        <v>182</v>
      </c>
    </row>
    <row r="7" spans="1:14">
      <c r="A7" s="5" t="s">
        <v>132</v>
      </c>
      <c r="B7" s="5" t="s">
        <v>238</v>
      </c>
      <c r="C7" s="63">
        <v>45292</v>
      </c>
      <c r="D7" s="77">
        <v>0.3</v>
      </c>
      <c r="E7" s="33">
        <f>INDEX(Villas!$M$6:$M$14,MATCH(A7,Villas!$C$6:$C$14,0))</f>
        <v>3108000.0000000005</v>
      </c>
      <c r="F7" s="33">
        <f>SUMIFS(Inflows!$J$7:$J$29,Inflows!$G$7:$G$29,A7,Inflows!$B$7:$B$29,"&lt;="&amp;Inputs!$B$11)</f>
        <v>443990</v>
      </c>
      <c r="G7" s="33">
        <f t="shared" ref="G7:G42" si="0">MAX(E7-F7,0)</f>
        <v>2664010.0000000005</v>
      </c>
      <c r="H7" s="33">
        <f t="shared" ref="H7:H42" si="1">G7*D7</f>
        <v>799203.00000000012</v>
      </c>
      <c r="I7" s="72">
        <f t="shared" ref="I7:I42" si="2">SUMIFS($D$7:$D$42,$A$7:$A$42,A7)-1</f>
        <v>0</v>
      </c>
    </row>
    <row r="8" spans="1:14">
      <c r="A8" s="6" t="s">
        <v>132</v>
      </c>
      <c r="B8" s="6" t="s">
        <v>239</v>
      </c>
      <c r="C8" s="64">
        <v>45474</v>
      </c>
      <c r="D8" s="12">
        <v>0.2</v>
      </c>
      <c r="E8" s="35">
        <f>INDEX(Villas!$M$6:$M$14,MATCH(A8,Villas!$C$6:$C$14,0))</f>
        <v>3108000.0000000005</v>
      </c>
      <c r="F8" s="35">
        <f>SUMIFS(Inflows!$J$7:$J$29,Inflows!$G$7:$G$29,A8,Inflows!$B$7:$B$29,"&lt;="&amp;Inputs!$B$11)</f>
        <v>443990</v>
      </c>
      <c r="G8" s="35">
        <f t="shared" si="0"/>
        <v>2664010.0000000005</v>
      </c>
      <c r="H8" s="35">
        <f t="shared" si="1"/>
        <v>532802.00000000012</v>
      </c>
      <c r="I8" s="73">
        <f t="shared" si="2"/>
        <v>0</v>
      </c>
    </row>
    <row r="9" spans="1:14">
      <c r="A9" s="6" t="s">
        <v>132</v>
      </c>
      <c r="B9" s="6" t="s">
        <v>240</v>
      </c>
      <c r="C9" s="64">
        <v>45658</v>
      </c>
      <c r="D9" s="12">
        <v>0.3</v>
      </c>
      <c r="E9" s="35">
        <f>INDEX(Villas!$M$6:$M$14,MATCH(A9,Villas!$C$6:$C$14,0))</f>
        <v>3108000.0000000005</v>
      </c>
      <c r="F9" s="35">
        <f>SUMIFS(Inflows!$J$7:$J$29,Inflows!$G$7:$G$29,A9,Inflows!$B$7:$B$29,"&lt;="&amp;Inputs!$B$11)</f>
        <v>443990</v>
      </c>
      <c r="G9" s="35">
        <f t="shared" si="0"/>
        <v>2664010.0000000005</v>
      </c>
      <c r="H9" s="35">
        <f t="shared" si="1"/>
        <v>799203.00000000012</v>
      </c>
      <c r="I9" s="73">
        <f t="shared" si="2"/>
        <v>0</v>
      </c>
    </row>
    <row r="10" spans="1:14">
      <c r="A10" s="6" t="s">
        <v>132</v>
      </c>
      <c r="B10" s="6" t="s">
        <v>241</v>
      </c>
      <c r="C10" s="64">
        <v>45839</v>
      </c>
      <c r="D10" s="12">
        <v>0.2</v>
      </c>
      <c r="E10" s="35">
        <f>INDEX(Villas!$M$6:$M$14,MATCH(A10,Villas!$C$6:$C$14,0))</f>
        <v>3108000.0000000005</v>
      </c>
      <c r="F10" s="35">
        <f>SUMIFS(Inflows!$J$7:$J$29,Inflows!$G$7:$G$29,A10,Inflows!$B$7:$B$29,"&lt;="&amp;Inputs!$B$11)</f>
        <v>443990</v>
      </c>
      <c r="G10" s="35">
        <f t="shared" si="0"/>
        <v>2664010.0000000005</v>
      </c>
      <c r="H10" s="35">
        <f t="shared" si="1"/>
        <v>532802.00000000012</v>
      </c>
      <c r="I10" s="73">
        <f t="shared" si="2"/>
        <v>0</v>
      </c>
    </row>
    <row r="11" spans="1:14">
      <c r="A11" s="6" t="s">
        <v>133</v>
      </c>
      <c r="B11" s="6" t="s">
        <v>238</v>
      </c>
      <c r="C11" s="64">
        <v>45292</v>
      </c>
      <c r="D11" s="12">
        <v>0.3</v>
      </c>
      <c r="E11" s="35">
        <f>INDEX(Villas!$M$6:$M$14,MATCH(A11,Villas!$C$6:$C$14,0))</f>
        <v>3297257.2795843352</v>
      </c>
      <c r="F11" s="35">
        <f>SUMIFS(Inflows!$J$7:$J$29,Inflows!$G$7:$G$29,A11,Inflows!$B$7:$B$29,"&lt;="&amp;Inputs!$B$11)</f>
        <v>0</v>
      </c>
      <c r="G11" s="35">
        <f t="shared" si="0"/>
        <v>3297257.2795843352</v>
      </c>
      <c r="H11" s="35">
        <f t="shared" si="1"/>
        <v>989177.18387530046</v>
      </c>
      <c r="I11" s="73">
        <f t="shared" si="2"/>
        <v>0</v>
      </c>
    </row>
    <row r="12" spans="1:14">
      <c r="A12" s="6" t="s">
        <v>133</v>
      </c>
      <c r="B12" s="6" t="s">
        <v>239</v>
      </c>
      <c r="C12" s="64">
        <v>45474</v>
      </c>
      <c r="D12" s="12">
        <v>0.2</v>
      </c>
      <c r="E12" s="35">
        <f>INDEX(Villas!$M$6:$M$14,MATCH(A12,Villas!$C$6:$C$14,0))</f>
        <v>3297257.2795843352</v>
      </c>
      <c r="F12" s="35">
        <f>SUMIFS(Inflows!$J$7:$J$29,Inflows!$G$7:$G$29,A12,Inflows!$B$7:$B$29,"&lt;="&amp;Inputs!$B$11)</f>
        <v>0</v>
      </c>
      <c r="G12" s="35">
        <f t="shared" si="0"/>
        <v>3297257.2795843352</v>
      </c>
      <c r="H12" s="35">
        <f t="shared" si="1"/>
        <v>659451.45591686713</v>
      </c>
      <c r="I12" s="73">
        <f t="shared" si="2"/>
        <v>0</v>
      </c>
    </row>
    <row r="13" spans="1:14">
      <c r="A13" s="6" t="s">
        <v>133</v>
      </c>
      <c r="B13" s="6" t="s">
        <v>240</v>
      </c>
      <c r="C13" s="64">
        <v>45658</v>
      </c>
      <c r="D13" s="12">
        <v>0.3</v>
      </c>
      <c r="E13" s="35">
        <f>INDEX(Villas!$M$6:$M$14,MATCH(A13,Villas!$C$6:$C$14,0))</f>
        <v>3297257.2795843352</v>
      </c>
      <c r="F13" s="35">
        <f>SUMIFS(Inflows!$J$7:$J$29,Inflows!$G$7:$G$29,A13,Inflows!$B$7:$B$29,"&lt;="&amp;Inputs!$B$11)</f>
        <v>0</v>
      </c>
      <c r="G13" s="35">
        <f t="shared" si="0"/>
        <v>3297257.2795843352</v>
      </c>
      <c r="H13" s="35">
        <f t="shared" si="1"/>
        <v>989177.18387530046</v>
      </c>
      <c r="I13" s="73">
        <f t="shared" si="2"/>
        <v>0</v>
      </c>
    </row>
    <row r="14" spans="1:14">
      <c r="A14" s="6" t="s">
        <v>133</v>
      </c>
      <c r="B14" s="6" t="s">
        <v>241</v>
      </c>
      <c r="C14" s="64">
        <v>45839</v>
      </c>
      <c r="D14" s="12">
        <v>0.2</v>
      </c>
      <c r="E14" s="35">
        <f>INDEX(Villas!$M$6:$M$14,MATCH(A14,Villas!$C$6:$C$14,0))</f>
        <v>3297257.2795843352</v>
      </c>
      <c r="F14" s="35">
        <f>SUMIFS(Inflows!$J$7:$J$29,Inflows!$G$7:$G$29,A14,Inflows!$B$7:$B$29,"&lt;="&amp;Inputs!$B$11)</f>
        <v>0</v>
      </c>
      <c r="G14" s="35">
        <f t="shared" si="0"/>
        <v>3297257.2795843352</v>
      </c>
      <c r="H14" s="35">
        <f t="shared" si="1"/>
        <v>659451.45591686713</v>
      </c>
      <c r="I14" s="73">
        <f t="shared" si="2"/>
        <v>0</v>
      </c>
    </row>
    <row r="15" spans="1:14">
      <c r="A15" s="6" t="s">
        <v>134</v>
      </c>
      <c r="B15" s="6" t="s">
        <v>238</v>
      </c>
      <c r="C15" s="64">
        <v>45292</v>
      </c>
      <c r="D15" s="12">
        <v>0.3</v>
      </c>
      <c r="E15" s="35">
        <f>INDEX(Villas!$M$6:$M$14,MATCH(A15,Villas!$C$6:$C$14,0))</f>
        <v>2941500.0000000005</v>
      </c>
      <c r="F15" s="35">
        <f>SUMIFS(Inflows!$J$7:$J$29,Inflows!$G$7:$G$29,A15,Inflows!$B$7:$B$29,"&lt;="&amp;Inputs!$B$11)</f>
        <v>0</v>
      </c>
      <c r="G15" s="35">
        <f t="shared" si="0"/>
        <v>2941500.0000000005</v>
      </c>
      <c r="H15" s="35">
        <f t="shared" si="1"/>
        <v>882450.00000000012</v>
      </c>
      <c r="I15" s="73">
        <f t="shared" si="2"/>
        <v>0</v>
      </c>
    </row>
    <row r="16" spans="1:14">
      <c r="A16" s="6" t="s">
        <v>134</v>
      </c>
      <c r="B16" s="6" t="s">
        <v>239</v>
      </c>
      <c r="C16" s="64">
        <v>45474</v>
      </c>
      <c r="D16" s="12">
        <v>0.2</v>
      </c>
      <c r="E16" s="35">
        <f>INDEX(Villas!$M$6:$M$14,MATCH(A16,Villas!$C$6:$C$14,0))</f>
        <v>2941500.0000000005</v>
      </c>
      <c r="F16" s="35">
        <f>SUMIFS(Inflows!$J$7:$J$29,Inflows!$G$7:$G$29,A16,Inflows!$B$7:$B$29,"&lt;="&amp;Inputs!$B$11)</f>
        <v>0</v>
      </c>
      <c r="G16" s="35">
        <f t="shared" si="0"/>
        <v>2941500.0000000005</v>
      </c>
      <c r="H16" s="35">
        <f t="shared" si="1"/>
        <v>588300.00000000012</v>
      </c>
      <c r="I16" s="73">
        <f t="shared" si="2"/>
        <v>0</v>
      </c>
    </row>
    <row r="17" spans="1:9">
      <c r="A17" s="6" t="s">
        <v>134</v>
      </c>
      <c r="B17" s="6" t="s">
        <v>240</v>
      </c>
      <c r="C17" s="64">
        <v>45658</v>
      </c>
      <c r="D17" s="12">
        <v>0.3</v>
      </c>
      <c r="E17" s="35">
        <f>INDEX(Villas!$M$6:$M$14,MATCH(A17,Villas!$C$6:$C$14,0))</f>
        <v>2941500.0000000005</v>
      </c>
      <c r="F17" s="35">
        <f>SUMIFS(Inflows!$J$7:$J$29,Inflows!$G$7:$G$29,A17,Inflows!$B$7:$B$29,"&lt;="&amp;Inputs!$B$11)</f>
        <v>0</v>
      </c>
      <c r="G17" s="35">
        <f t="shared" si="0"/>
        <v>2941500.0000000005</v>
      </c>
      <c r="H17" s="35">
        <f t="shared" si="1"/>
        <v>882450.00000000012</v>
      </c>
      <c r="I17" s="73">
        <f t="shared" si="2"/>
        <v>0</v>
      </c>
    </row>
    <row r="18" spans="1:9">
      <c r="A18" s="6" t="s">
        <v>134</v>
      </c>
      <c r="B18" s="6" t="s">
        <v>241</v>
      </c>
      <c r="C18" s="64">
        <v>45839</v>
      </c>
      <c r="D18" s="12">
        <v>0.2</v>
      </c>
      <c r="E18" s="35">
        <f>INDEX(Villas!$M$6:$M$14,MATCH(A18,Villas!$C$6:$C$14,0))</f>
        <v>2941500.0000000005</v>
      </c>
      <c r="F18" s="35">
        <f>SUMIFS(Inflows!$J$7:$J$29,Inflows!$G$7:$G$29,A18,Inflows!$B$7:$B$29,"&lt;="&amp;Inputs!$B$11)</f>
        <v>0</v>
      </c>
      <c r="G18" s="35">
        <f t="shared" si="0"/>
        <v>2941500.0000000005</v>
      </c>
      <c r="H18" s="35">
        <f t="shared" si="1"/>
        <v>588300.00000000012</v>
      </c>
      <c r="I18" s="73">
        <f t="shared" si="2"/>
        <v>0</v>
      </c>
    </row>
    <row r="19" spans="1:9">
      <c r="A19" s="6" t="s">
        <v>135</v>
      </c>
      <c r="B19" s="6" t="s">
        <v>238</v>
      </c>
      <c r="C19" s="64">
        <v>45292</v>
      </c>
      <c r="D19" s="12">
        <v>0.3</v>
      </c>
      <c r="E19" s="35">
        <f>INDEX(Villas!$M$6:$M$14,MATCH(A19,Villas!$C$6:$C$14,0))</f>
        <v>888000.00000000012</v>
      </c>
      <c r="F19" s="35">
        <f>SUMIFS(Inflows!$J$7:$J$29,Inflows!$G$7:$G$29,A19,Inflows!$B$7:$B$29,"&lt;="&amp;Inputs!$B$11)</f>
        <v>388541.8</v>
      </c>
      <c r="G19" s="35">
        <f t="shared" si="0"/>
        <v>499458.20000000013</v>
      </c>
      <c r="H19" s="35">
        <f t="shared" si="1"/>
        <v>149837.46000000002</v>
      </c>
      <c r="I19" s="73">
        <f t="shared" si="2"/>
        <v>0</v>
      </c>
    </row>
    <row r="20" spans="1:9">
      <c r="A20" s="6" t="s">
        <v>135</v>
      </c>
      <c r="B20" s="6" t="s">
        <v>239</v>
      </c>
      <c r="C20" s="64">
        <v>45474</v>
      </c>
      <c r="D20" s="12">
        <v>0.2</v>
      </c>
      <c r="E20" s="35">
        <f>INDEX(Villas!$M$6:$M$14,MATCH(A20,Villas!$C$6:$C$14,0))</f>
        <v>888000.00000000012</v>
      </c>
      <c r="F20" s="35">
        <f>SUMIFS(Inflows!$J$7:$J$29,Inflows!$G$7:$G$29,A20,Inflows!$B$7:$B$29,"&lt;="&amp;Inputs!$B$11)</f>
        <v>388541.8</v>
      </c>
      <c r="G20" s="35">
        <f t="shared" si="0"/>
        <v>499458.20000000013</v>
      </c>
      <c r="H20" s="35">
        <f t="shared" si="1"/>
        <v>99891.640000000029</v>
      </c>
      <c r="I20" s="73">
        <f t="shared" si="2"/>
        <v>0</v>
      </c>
    </row>
    <row r="21" spans="1:9">
      <c r="A21" s="6" t="s">
        <v>135</v>
      </c>
      <c r="B21" s="6" t="s">
        <v>240</v>
      </c>
      <c r="C21" s="64">
        <v>45658</v>
      </c>
      <c r="D21" s="12">
        <v>0.3</v>
      </c>
      <c r="E21" s="35">
        <f>INDEX(Villas!$M$6:$M$14,MATCH(A21,Villas!$C$6:$C$14,0))</f>
        <v>888000.00000000012</v>
      </c>
      <c r="F21" s="35">
        <f>SUMIFS(Inflows!$J$7:$J$29,Inflows!$G$7:$G$29,A21,Inflows!$B$7:$B$29,"&lt;="&amp;Inputs!$B$11)</f>
        <v>388541.8</v>
      </c>
      <c r="G21" s="35">
        <f t="shared" si="0"/>
        <v>499458.20000000013</v>
      </c>
      <c r="H21" s="35">
        <f t="shared" si="1"/>
        <v>149837.46000000002</v>
      </c>
      <c r="I21" s="73">
        <f t="shared" si="2"/>
        <v>0</v>
      </c>
    </row>
    <row r="22" spans="1:9">
      <c r="A22" s="6" t="s">
        <v>135</v>
      </c>
      <c r="B22" s="6" t="s">
        <v>241</v>
      </c>
      <c r="C22" s="64">
        <v>45839</v>
      </c>
      <c r="D22" s="12">
        <v>0.2</v>
      </c>
      <c r="E22" s="35">
        <f>INDEX(Villas!$M$6:$M$14,MATCH(A22,Villas!$C$6:$C$14,0))</f>
        <v>888000.00000000012</v>
      </c>
      <c r="F22" s="35">
        <f>SUMIFS(Inflows!$J$7:$J$29,Inflows!$G$7:$G$29,A22,Inflows!$B$7:$B$29,"&lt;="&amp;Inputs!$B$11)</f>
        <v>388541.8</v>
      </c>
      <c r="G22" s="35">
        <f t="shared" si="0"/>
        <v>499458.20000000013</v>
      </c>
      <c r="H22" s="35">
        <f t="shared" si="1"/>
        <v>99891.640000000029</v>
      </c>
      <c r="I22" s="73">
        <f t="shared" si="2"/>
        <v>0</v>
      </c>
    </row>
    <row r="23" spans="1:9">
      <c r="A23" s="6" t="s">
        <v>136</v>
      </c>
      <c r="B23" s="6" t="s">
        <v>238</v>
      </c>
      <c r="C23" s="64">
        <v>45292</v>
      </c>
      <c r="D23" s="12">
        <v>0.3</v>
      </c>
      <c r="E23" s="35">
        <f>INDEX(Villas!$M$6:$M$14,MATCH(A23,Villas!$C$6:$C$14,0))</f>
        <v>0</v>
      </c>
      <c r="F23" s="35">
        <f>SUMIFS(Inflows!$J$7:$J$29,Inflows!$G$7:$G$29,A23,Inflows!$B$7:$B$29,"&lt;="&amp;Inputs!$B$11)</f>
        <v>0</v>
      </c>
      <c r="G23" s="35">
        <f t="shared" si="0"/>
        <v>0</v>
      </c>
      <c r="H23" s="35">
        <f t="shared" si="1"/>
        <v>0</v>
      </c>
      <c r="I23" s="73">
        <f t="shared" si="2"/>
        <v>0</v>
      </c>
    </row>
    <row r="24" spans="1:9">
      <c r="A24" s="6" t="s">
        <v>136</v>
      </c>
      <c r="B24" s="6" t="s">
        <v>239</v>
      </c>
      <c r="C24" s="64">
        <v>45474</v>
      </c>
      <c r="D24" s="12">
        <v>0.2</v>
      </c>
      <c r="E24" s="35">
        <f>INDEX(Villas!$M$6:$M$14,MATCH(A24,Villas!$C$6:$C$14,0))</f>
        <v>0</v>
      </c>
      <c r="F24" s="35">
        <f>SUMIFS(Inflows!$J$7:$J$29,Inflows!$G$7:$G$29,A24,Inflows!$B$7:$B$29,"&lt;="&amp;Inputs!$B$11)</f>
        <v>0</v>
      </c>
      <c r="G24" s="35">
        <f t="shared" si="0"/>
        <v>0</v>
      </c>
      <c r="H24" s="35">
        <f t="shared" si="1"/>
        <v>0</v>
      </c>
      <c r="I24" s="73">
        <f t="shared" si="2"/>
        <v>0</v>
      </c>
    </row>
    <row r="25" spans="1:9">
      <c r="A25" s="6" t="s">
        <v>136</v>
      </c>
      <c r="B25" s="6" t="s">
        <v>240</v>
      </c>
      <c r="C25" s="64">
        <v>45658</v>
      </c>
      <c r="D25" s="12">
        <v>0.3</v>
      </c>
      <c r="E25" s="35">
        <f>INDEX(Villas!$M$6:$M$14,MATCH(A25,Villas!$C$6:$C$14,0))</f>
        <v>0</v>
      </c>
      <c r="F25" s="35">
        <f>SUMIFS(Inflows!$J$7:$J$29,Inflows!$G$7:$G$29,A25,Inflows!$B$7:$B$29,"&lt;="&amp;Inputs!$B$11)</f>
        <v>0</v>
      </c>
      <c r="G25" s="35">
        <f t="shared" si="0"/>
        <v>0</v>
      </c>
      <c r="H25" s="35">
        <f t="shared" si="1"/>
        <v>0</v>
      </c>
      <c r="I25" s="73">
        <f t="shared" si="2"/>
        <v>0</v>
      </c>
    </row>
    <row r="26" spans="1:9">
      <c r="A26" s="6" t="s">
        <v>136</v>
      </c>
      <c r="B26" s="6" t="s">
        <v>241</v>
      </c>
      <c r="C26" s="64">
        <v>45839</v>
      </c>
      <c r="D26" s="12">
        <v>0.2</v>
      </c>
      <c r="E26" s="35">
        <f>INDEX(Villas!$M$6:$M$14,MATCH(A26,Villas!$C$6:$C$14,0))</f>
        <v>0</v>
      </c>
      <c r="F26" s="35">
        <f>SUMIFS(Inflows!$J$7:$J$29,Inflows!$G$7:$G$29,A26,Inflows!$B$7:$B$29,"&lt;="&amp;Inputs!$B$11)</f>
        <v>0</v>
      </c>
      <c r="G26" s="35">
        <f t="shared" si="0"/>
        <v>0</v>
      </c>
      <c r="H26" s="35">
        <f t="shared" si="1"/>
        <v>0</v>
      </c>
      <c r="I26" s="73">
        <f t="shared" si="2"/>
        <v>0</v>
      </c>
    </row>
    <row r="27" spans="1:9">
      <c r="A27" s="6" t="s">
        <v>137</v>
      </c>
      <c r="B27" s="6" t="s">
        <v>238</v>
      </c>
      <c r="C27" s="64">
        <v>45292</v>
      </c>
      <c r="D27" s="12">
        <v>0.3</v>
      </c>
      <c r="E27" s="35">
        <f>INDEX(Villas!$M$6:$M$14,MATCH(A27,Villas!$C$6:$C$14,0))</f>
        <v>0</v>
      </c>
      <c r="F27" s="35">
        <f>SUMIFS(Inflows!$J$7:$J$29,Inflows!$G$7:$G$29,A27,Inflows!$B$7:$B$29,"&lt;="&amp;Inputs!$B$11)</f>
        <v>0</v>
      </c>
      <c r="G27" s="35">
        <f t="shared" si="0"/>
        <v>0</v>
      </c>
      <c r="H27" s="35">
        <f t="shared" si="1"/>
        <v>0</v>
      </c>
      <c r="I27" s="73">
        <f t="shared" si="2"/>
        <v>0</v>
      </c>
    </row>
    <row r="28" spans="1:9">
      <c r="A28" s="6" t="s">
        <v>137</v>
      </c>
      <c r="B28" s="6" t="s">
        <v>239</v>
      </c>
      <c r="C28" s="64">
        <v>45474</v>
      </c>
      <c r="D28" s="12">
        <v>0.2</v>
      </c>
      <c r="E28" s="35">
        <f>INDEX(Villas!$M$6:$M$14,MATCH(A28,Villas!$C$6:$C$14,0))</f>
        <v>0</v>
      </c>
      <c r="F28" s="35">
        <f>SUMIFS(Inflows!$J$7:$J$29,Inflows!$G$7:$G$29,A28,Inflows!$B$7:$B$29,"&lt;="&amp;Inputs!$B$11)</f>
        <v>0</v>
      </c>
      <c r="G28" s="35">
        <f t="shared" si="0"/>
        <v>0</v>
      </c>
      <c r="H28" s="35">
        <f t="shared" si="1"/>
        <v>0</v>
      </c>
      <c r="I28" s="73">
        <f t="shared" si="2"/>
        <v>0</v>
      </c>
    </row>
    <row r="29" spans="1:9">
      <c r="A29" s="6" t="s">
        <v>137</v>
      </c>
      <c r="B29" s="6" t="s">
        <v>240</v>
      </c>
      <c r="C29" s="64">
        <v>45658</v>
      </c>
      <c r="D29" s="12">
        <v>0.3</v>
      </c>
      <c r="E29" s="35">
        <f>INDEX(Villas!$M$6:$M$14,MATCH(A29,Villas!$C$6:$C$14,0))</f>
        <v>0</v>
      </c>
      <c r="F29" s="35">
        <f>SUMIFS(Inflows!$J$7:$J$29,Inflows!$G$7:$G$29,A29,Inflows!$B$7:$B$29,"&lt;="&amp;Inputs!$B$11)</f>
        <v>0</v>
      </c>
      <c r="G29" s="35">
        <f t="shared" si="0"/>
        <v>0</v>
      </c>
      <c r="H29" s="35">
        <f t="shared" si="1"/>
        <v>0</v>
      </c>
      <c r="I29" s="73">
        <f t="shared" si="2"/>
        <v>0</v>
      </c>
    </row>
    <row r="30" spans="1:9">
      <c r="A30" s="6" t="s">
        <v>137</v>
      </c>
      <c r="B30" s="6" t="s">
        <v>241</v>
      </c>
      <c r="C30" s="64">
        <v>45839</v>
      </c>
      <c r="D30" s="12">
        <v>0.2</v>
      </c>
      <c r="E30" s="35">
        <f>INDEX(Villas!$M$6:$M$14,MATCH(A30,Villas!$C$6:$C$14,0))</f>
        <v>0</v>
      </c>
      <c r="F30" s="35">
        <f>SUMIFS(Inflows!$J$7:$J$29,Inflows!$G$7:$G$29,A30,Inflows!$B$7:$B$29,"&lt;="&amp;Inputs!$B$11)</f>
        <v>0</v>
      </c>
      <c r="G30" s="35">
        <f t="shared" si="0"/>
        <v>0</v>
      </c>
      <c r="H30" s="35">
        <f t="shared" si="1"/>
        <v>0</v>
      </c>
      <c r="I30" s="73">
        <f t="shared" si="2"/>
        <v>0</v>
      </c>
    </row>
    <row r="31" spans="1:9">
      <c r="A31" s="6" t="s">
        <v>138</v>
      </c>
      <c r="B31" s="6" t="s">
        <v>238</v>
      </c>
      <c r="C31" s="64">
        <v>45292</v>
      </c>
      <c r="D31" s="12">
        <v>0.3</v>
      </c>
      <c r="E31" s="35">
        <f>INDEX(Villas!$M$6:$M$14,MATCH(A31,Villas!$C$6:$C$14,0))</f>
        <v>0</v>
      </c>
      <c r="F31" s="35">
        <f>SUMIFS(Inflows!$J$7:$J$29,Inflows!$G$7:$G$29,A31,Inflows!$B$7:$B$29,"&lt;="&amp;Inputs!$B$11)</f>
        <v>0</v>
      </c>
      <c r="G31" s="35">
        <f t="shared" si="0"/>
        <v>0</v>
      </c>
      <c r="H31" s="35">
        <f t="shared" si="1"/>
        <v>0</v>
      </c>
      <c r="I31" s="73">
        <f t="shared" si="2"/>
        <v>0</v>
      </c>
    </row>
    <row r="32" spans="1:9">
      <c r="A32" s="6" t="s">
        <v>138</v>
      </c>
      <c r="B32" s="6" t="s">
        <v>239</v>
      </c>
      <c r="C32" s="64">
        <v>45474</v>
      </c>
      <c r="D32" s="12">
        <v>0.2</v>
      </c>
      <c r="E32" s="35">
        <f>INDEX(Villas!$M$6:$M$14,MATCH(A32,Villas!$C$6:$C$14,0))</f>
        <v>0</v>
      </c>
      <c r="F32" s="35">
        <f>SUMIFS(Inflows!$J$7:$J$29,Inflows!$G$7:$G$29,A32,Inflows!$B$7:$B$29,"&lt;="&amp;Inputs!$B$11)</f>
        <v>0</v>
      </c>
      <c r="G32" s="35">
        <f t="shared" si="0"/>
        <v>0</v>
      </c>
      <c r="H32" s="35">
        <f t="shared" si="1"/>
        <v>0</v>
      </c>
      <c r="I32" s="73">
        <f t="shared" si="2"/>
        <v>0</v>
      </c>
    </row>
    <row r="33" spans="1:9">
      <c r="A33" s="6" t="s">
        <v>138</v>
      </c>
      <c r="B33" s="6" t="s">
        <v>240</v>
      </c>
      <c r="C33" s="64">
        <v>45658</v>
      </c>
      <c r="D33" s="12">
        <v>0.3</v>
      </c>
      <c r="E33" s="35">
        <f>INDEX(Villas!$M$6:$M$14,MATCH(A33,Villas!$C$6:$C$14,0))</f>
        <v>0</v>
      </c>
      <c r="F33" s="35">
        <f>SUMIFS(Inflows!$J$7:$J$29,Inflows!$G$7:$G$29,A33,Inflows!$B$7:$B$29,"&lt;="&amp;Inputs!$B$11)</f>
        <v>0</v>
      </c>
      <c r="G33" s="35">
        <f t="shared" si="0"/>
        <v>0</v>
      </c>
      <c r="H33" s="35">
        <f t="shared" si="1"/>
        <v>0</v>
      </c>
      <c r="I33" s="73">
        <f t="shared" si="2"/>
        <v>0</v>
      </c>
    </row>
    <row r="34" spans="1:9">
      <c r="A34" s="6" t="s">
        <v>138</v>
      </c>
      <c r="B34" s="6" t="s">
        <v>241</v>
      </c>
      <c r="C34" s="64">
        <v>45839</v>
      </c>
      <c r="D34" s="12">
        <v>0.2</v>
      </c>
      <c r="E34" s="35">
        <f>INDEX(Villas!$M$6:$M$14,MATCH(A34,Villas!$C$6:$C$14,0))</f>
        <v>0</v>
      </c>
      <c r="F34" s="35">
        <f>SUMIFS(Inflows!$J$7:$J$29,Inflows!$G$7:$G$29,A34,Inflows!$B$7:$B$29,"&lt;="&amp;Inputs!$B$11)</f>
        <v>0</v>
      </c>
      <c r="G34" s="35">
        <f t="shared" si="0"/>
        <v>0</v>
      </c>
      <c r="H34" s="35">
        <f t="shared" si="1"/>
        <v>0</v>
      </c>
      <c r="I34" s="73">
        <f t="shared" si="2"/>
        <v>0</v>
      </c>
    </row>
    <row r="35" spans="1:9">
      <c r="A35" s="6" t="s">
        <v>139</v>
      </c>
      <c r="B35" s="6" t="s">
        <v>238</v>
      </c>
      <c r="C35" s="64">
        <v>45292</v>
      </c>
      <c r="D35" s="12">
        <v>0.3</v>
      </c>
      <c r="E35" s="35">
        <f>INDEX(Villas!$M$6:$M$14,MATCH(A35,Villas!$C$6:$C$14,0))</f>
        <v>0</v>
      </c>
      <c r="F35" s="35">
        <f>SUMIFS(Inflows!$J$7:$J$29,Inflows!$G$7:$G$29,A35,Inflows!$B$7:$B$29,"&lt;="&amp;Inputs!$B$11)</f>
        <v>0</v>
      </c>
      <c r="G35" s="35">
        <f t="shared" si="0"/>
        <v>0</v>
      </c>
      <c r="H35" s="35">
        <f t="shared" si="1"/>
        <v>0</v>
      </c>
      <c r="I35" s="73">
        <f t="shared" si="2"/>
        <v>0</v>
      </c>
    </row>
    <row r="36" spans="1:9">
      <c r="A36" s="6" t="s">
        <v>139</v>
      </c>
      <c r="B36" s="6" t="s">
        <v>239</v>
      </c>
      <c r="C36" s="64">
        <v>45474</v>
      </c>
      <c r="D36" s="12">
        <v>0.2</v>
      </c>
      <c r="E36" s="35">
        <f>INDEX(Villas!$M$6:$M$14,MATCH(A36,Villas!$C$6:$C$14,0))</f>
        <v>0</v>
      </c>
      <c r="F36" s="35">
        <f>SUMIFS(Inflows!$J$7:$J$29,Inflows!$G$7:$G$29,A36,Inflows!$B$7:$B$29,"&lt;="&amp;Inputs!$B$11)</f>
        <v>0</v>
      </c>
      <c r="G36" s="35">
        <f t="shared" si="0"/>
        <v>0</v>
      </c>
      <c r="H36" s="35">
        <f t="shared" si="1"/>
        <v>0</v>
      </c>
      <c r="I36" s="73">
        <f t="shared" si="2"/>
        <v>0</v>
      </c>
    </row>
    <row r="37" spans="1:9">
      <c r="A37" s="6" t="s">
        <v>139</v>
      </c>
      <c r="B37" s="6" t="s">
        <v>240</v>
      </c>
      <c r="C37" s="64">
        <v>45658</v>
      </c>
      <c r="D37" s="12">
        <v>0.3</v>
      </c>
      <c r="E37" s="35">
        <f>INDEX(Villas!$M$6:$M$14,MATCH(A37,Villas!$C$6:$C$14,0))</f>
        <v>0</v>
      </c>
      <c r="F37" s="35">
        <f>SUMIFS(Inflows!$J$7:$J$29,Inflows!$G$7:$G$29,A37,Inflows!$B$7:$B$29,"&lt;="&amp;Inputs!$B$11)</f>
        <v>0</v>
      </c>
      <c r="G37" s="35">
        <f t="shared" si="0"/>
        <v>0</v>
      </c>
      <c r="H37" s="35">
        <f t="shared" si="1"/>
        <v>0</v>
      </c>
      <c r="I37" s="73">
        <f t="shared" si="2"/>
        <v>0</v>
      </c>
    </row>
    <row r="38" spans="1:9">
      <c r="A38" s="6" t="s">
        <v>139</v>
      </c>
      <c r="B38" s="6" t="s">
        <v>241</v>
      </c>
      <c r="C38" s="64">
        <v>45839</v>
      </c>
      <c r="D38" s="12">
        <v>0.2</v>
      </c>
      <c r="E38" s="35">
        <f>INDEX(Villas!$M$6:$M$14,MATCH(A38,Villas!$C$6:$C$14,0))</f>
        <v>0</v>
      </c>
      <c r="F38" s="35">
        <f>SUMIFS(Inflows!$J$7:$J$29,Inflows!$G$7:$G$29,A38,Inflows!$B$7:$B$29,"&lt;="&amp;Inputs!$B$11)</f>
        <v>0</v>
      </c>
      <c r="G38" s="35">
        <f t="shared" si="0"/>
        <v>0</v>
      </c>
      <c r="H38" s="35">
        <f t="shared" si="1"/>
        <v>0</v>
      </c>
      <c r="I38" s="73">
        <f t="shared" si="2"/>
        <v>0</v>
      </c>
    </row>
    <row r="39" spans="1:9">
      <c r="A39" s="6" t="s">
        <v>140</v>
      </c>
      <c r="B39" s="6" t="s">
        <v>238</v>
      </c>
      <c r="C39" s="64">
        <v>45292</v>
      </c>
      <c r="D39" s="12">
        <v>0.3</v>
      </c>
      <c r="E39" s="35">
        <f>INDEX(Villas!$M$6:$M$14,MATCH(A39,Villas!$C$6:$C$14,0))</f>
        <v>2216904.21</v>
      </c>
      <c r="F39" s="35">
        <f>SUMIFS(Inflows!$J$7:$J$29,Inflows!$G$7:$G$29,A39,Inflows!$B$7:$B$29,"&lt;="&amp;Inputs!$B$11)</f>
        <v>0</v>
      </c>
      <c r="G39" s="35">
        <f t="shared" si="0"/>
        <v>2216904.21</v>
      </c>
      <c r="H39" s="35">
        <f t="shared" si="1"/>
        <v>665071.26299999992</v>
      </c>
      <c r="I39" s="73">
        <f t="shared" si="2"/>
        <v>0</v>
      </c>
    </row>
    <row r="40" spans="1:9">
      <c r="A40" s="6" t="s">
        <v>140</v>
      </c>
      <c r="B40" s="6" t="s">
        <v>239</v>
      </c>
      <c r="C40" s="64">
        <v>45474</v>
      </c>
      <c r="D40" s="12">
        <v>0.2</v>
      </c>
      <c r="E40" s="35">
        <f>INDEX(Villas!$M$6:$M$14,MATCH(A40,Villas!$C$6:$C$14,0))</f>
        <v>2216904.21</v>
      </c>
      <c r="F40" s="35">
        <f>SUMIFS(Inflows!$J$7:$J$29,Inflows!$G$7:$G$29,A40,Inflows!$B$7:$B$29,"&lt;="&amp;Inputs!$B$11)</f>
        <v>0</v>
      </c>
      <c r="G40" s="35">
        <f t="shared" si="0"/>
        <v>2216904.21</v>
      </c>
      <c r="H40" s="35">
        <f t="shared" si="1"/>
        <v>443380.842</v>
      </c>
      <c r="I40" s="73">
        <f t="shared" si="2"/>
        <v>0</v>
      </c>
    </row>
    <row r="41" spans="1:9">
      <c r="A41" s="6" t="s">
        <v>140</v>
      </c>
      <c r="B41" s="6" t="s">
        <v>240</v>
      </c>
      <c r="C41" s="64">
        <v>45658</v>
      </c>
      <c r="D41" s="12">
        <v>0.3</v>
      </c>
      <c r="E41" s="35">
        <f>INDEX(Villas!$M$6:$M$14,MATCH(A41,Villas!$C$6:$C$14,0))</f>
        <v>2216904.21</v>
      </c>
      <c r="F41" s="35">
        <f>SUMIFS(Inflows!$J$7:$J$29,Inflows!$G$7:$G$29,A41,Inflows!$B$7:$B$29,"&lt;="&amp;Inputs!$B$11)</f>
        <v>0</v>
      </c>
      <c r="G41" s="35">
        <f t="shared" si="0"/>
        <v>2216904.21</v>
      </c>
      <c r="H41" s="35">
        <f t="shared" si="1"/>
        <v>665071.26299999992</v>
      </c>
      <c r="I41" s="73">
        <f t="shared" si="2"/>
        <v>0</v>
      </c>
    </row>
    <row r="42" spans="1:9">
      <c r="A42" s="7" t="s">
        <v>140</v>
      </c>
      <c r="B42" s="7" t="s">
        <v>241</v>
      </c>
      <c r="C42" s="65">
        <v>45839</v>
      </c>
      <c r="D42" s="78">
        <v>0.2</v>
      </c>
      <c r="E42" s="36">
        <f>INDEX(Villas!$M$6:$M$14,MATCH(A42,Villas!$C$6:$C$14,0))</f>
        <v>2216904.21</v>
      </c>
      <c r="F42" s="36">
        <f>SUMIFS(Inflows!$J$7:$J$29,Inflows!$G$7:$G$29,A42,Inflows!$B$7:$B$29,"&lt;="&amp;Inputs!$B$11)</f>
        <v>0</v>
      </c>
      <c r="G42" s="36">
        <f t="shared" si="0"/>
        <v>2216904.21</v>
      </c>
      <c r="H42" s="36">
        <f t="shared" si="1"/>
        <v>443380.842</v>
      </c>
      <c r="I42" s="74">
        <f t="shared" si="2"/>
        <v>0</v>
      </c>
    </row>
    <row r="45" spans="1:9">
      <c r="A45" s="163" t="s">
        <v>242</v>
      </c>
      <c r="B45" s="163" t="s">
        <v>242</v>
      </c>
      <c r="C45" s="163" t="s">
        <v>242</v>
      </c>
      <c r="D45" s="163" t="s">
        <v>242</v>
      </c>
      <c r="E45" s="163" t="s">
        <v>242</v>
      </c>
      <c r="F45" s="163" t="s">
        <v>242</v>
      </c>
    </row>
    <row r="46" spans="1:9" ht="30" customHeight="1">
      <c r="A46" s="2" t="s">
        <v>108</v>
      </c>
      <c r="B46" s="3" t="s">
        <v>243</v>
      </c>
      <c r="C46" s="3" t="s">
        <v>244</v>
      </c>
      <c r="D46" s="3" t="s">
        <v>245</v>
      </c>
      <c r="E46" s="3" t="s">
        <v>227</v>
      </c>
      <c r="F46" s="4" t="s">
        <v>192</v>
      </c>
    </row>
    <row r="47" spans="1:9">
      <c r="A47" s="5" t="s">
        <v>132</v>
      </c>
      <c r="B47" s="33">
        <f>INDEX(Villas!$M$6:$M$14,MATCH(A47,Villas!$C$6:$C$14,0))</f>
        <v>3108000.0000000005</v>
      </c>
      <c r="C47" s="33">
        <f>SUMIFS(Inflows!$J$7:$J$29,Inflows!$G$7:$G$29,A47,Inflows!$B$7:$B$29,"&lt;="&amp;Inputs!$B$11)</f>
        <v>443990</v>
      </c>
      <c r="D47" s="33">
        <f t="shared" ref="D47:D55" si="3">SUMIFS($H$7:$H$42,$A$7:$A$42,A47)</f>
        <v>2664010.0000000005</v>
      </c>
      <c r="E47" s="33">
        <f t="shared" ref="E47:E55" si="4">B47-C47-D47</f>
        <v>0</v>
      </c>
      <c r="F47" s="23" t="str">
        <f t="shared" ref="F47:F55" si="5">IF(ABS(E47)&lt;1,"PASS","FAIL")</f>
        <v>PASS</v>
      </c>
    </row>
    <row r="48" spans="1:9">
      <c r="A48" s="6" t="s">
        <v>133</v>
      </c>
      <c r="B48" s="35">
        <f>INDEX(Villas!$M$6:$M$14,MATCH(A48,Villas!$C$6:$C$14,0))</f>
        <v>3297257.2795843352</v>
      </c>
      <c r="C48" s="35">
        <f>SUMIFS(Inflows!$J$7:$J$29,Inflows!$G$7:$G$29,A48,Inflows!$B$7:$B$29,"&lt;="&amp;Inputs!$B$11)</f>
        <v>0</v>
      </c>
      <c r="D48" s="35">
        <f t="shared" si="3"/>
        <v>3297257.2795843352</v>
      </c>
      <c r="E48" s="35">
        <f t="shared" si="4"/>
        <v>0</v>
      </c>
      <c r="F48" s="24" t="str">
        <f t="shared" si="5"/>
        <v>PASS</v>
      </c>
    </row>
    <row r="49" spans="1:6">
      <c r="A49" s="6" t="s">
        <v>134</v>
      </c>
      <c r="B49" s="35">
        <f>INDEX(Villas!$M$6:$M$14,MATCH(A49,Villas!$C$6:$C$14,0))</f>
        <v>2941500.0000000005</v>
      </c>
      <c r="C49" s="35">
        <f>SUMIFS(Inflows!$J$7:$J$29,Inflows!$G$7:$G$29,A49,Inflows!$B$7:$B$29,"&lt;="&amp;Inputs!$B$11)</f>
        <v>0</v>
      </c>
      <c r="D49" s="35">
        <f t="shared" si="3"/>
        <v>2941500.0000000005</v>
      </c>
      <c r="E49" s="35">
        <f t="shared" si="4"/>
        <v>0</v>
      </c>
      <c r="F49" s="24" t="str">
        <f t="shared" si="5"/>
        <v>PASS</v>
      </c>
    </row>
    <row r="50" spans="1:6">
      <c r="A50" s="6" t="s">
        <v>135</v>
      </c>
      <c r="B50" s="35">
        <f>INDEX(Villas!$M$6:$M$14,MATCH(A50,Villas!$C$6:$C$14,0))</f>
        <v>888000.00000000012</v>
      </c>
      <c r="C50" s="35">
        <f>SUMIFS(Inflows!$J$7:$J$29,Inflows!$G$7:$G$29,A50,Inflows!$B$7:$B$29,"&lt;="&amp;Inputs!$B$11)</f>
        <v>388541.8</v>
      </c>
      <c r="D50" s="35">
        <f t="shared" si="3"/>
        <v>499458.20000000007</v>
      </c>
      <c r="E50" s="35">
        <f t="shared" si="4"/>
        <v>0</v>
      </c>
      <c r="F50" s="24" t="str">
        <f t="shared" si="5"/>
        <v>PASS</v>
      </c>
    </row>
    <row r="51" spans="1:6">
      <c r="A51" s="6" t="s">
        <v>136</v>
      </c>
      <c r="B51" s="35">
        <f>INDEX(Villas!$M$6:$M$14,MATCH(A51,Villas!$C$6:$C$14,0))</f>
        <v>0</v>
      </c>
      <c r="C51" s="35">
        <f>SUMIFS(Inflows!$J$7:$J$29,Inflows!$G$7:$G$29,A51,Inflows!$B$7:$B$29,"&lt;="&amp;Inputs!$B$11)</f>
        <v>0</v>
      </c>
      <c r="D51" s="35">
        <f t="shared" si="3"/>
        <v>0</v>
      </c>
      <c r="E51" s="35">
        <f t="shared" si="4"/>
        <v>0</v>
      </c>
      <c r="F51" s="24" t="str">
        <f t="shared" si="5"/>
        <v>PASS</v>
      </c>
    </row>
    <row r="52" spans="1:6">
      <c r="A52" s="6" t="s">
        <v>137</v>
      </c>
      <c r="B52" s="35">
        <f>INDEX(Villas!$M$6:$M$14,MATCH(A52,Villas!$C$6:$C$14,0))</f>
        <v>0</v>
      </c>
      <c r="C52" s="35">
        <f>SUMIFS(Inflows!$J$7:$J$29,Inflows!$G$7:$G$29,A52,Inflows!$B$7:$B$29,"&lt;="&amp;Inputs!$B$11)</f>
        <v>0</v>
      </c>
      <c r="D52" s="35">
        <f t="shared" si="3"/>
        <v>0</v>
      </c>
      <c r="E52" s="35">
        <f t="shared" si="4"/>
        <v>0</v>
      </c>
      <c r="F52" s="24" t="str">
        <f t="shared" si="5"/>
        <v>PASS</v>
      </c>
    </row>
    <row r="53" spans="1:6">
      <c r="A53" s="6" t="s">
        <v>138</v>
      </c>
      <c r="B53" s="35">
        <f>INDEX(Villas!$M$6:$M$14,MATCH(A53,Villas!$C$6:$C$14,0))</f>
        <v>0</v>
      </c>
      <c r="C53" s="35">
        <f>SUMIFS(Inflows!$J$7:$J$29,Inflows!$G$7:$G$29,A53,Inflows!$B$7:$B$29,"&lt;="&amp;Inputs!$B$11)</f>
        <v>0</v>
      </c>
      <c r="D53" s="35">
        <f t="shared" si="3"/>
        <v>0</v>
      </c>
      <c r="E53" s="35">
        <f t="shared" si="4"/>
        <v>0</v>
      </c>
      <c r="F53" s="24" t="str">
        <f t="shared" si="5"/>
        <v>PASS</v>
      </c>
    </row>
    <row r="54" spans="1:6">
      <c r="A54" s="6" t="s">
        <v>139</v>
      </c>
      <c r="B54" s="35">
        <f>INDEX(Villas!$M$6:$M$14,MATCH(A54,Villas!$C$6:$C$14,0))</f>
        <v>0</v>
      </c>
      <c r="C54" s="35">
        <f>SUMIFS(Inflows!$J$7:$J$29,Inflows!$G$7:$G$29,A54,Inflows!$B$7:$B$29,"&lt;="&amp;Inputs!$B$11)</f>
        <v>0</v>
      </c>
      <c r="D54" s="35">
        <f t="shared" si="3"/>
        <v>0</v>
      </c>
      <c r="E54" s="35">
        <f t="shared" si="4"/>
        <v>0</v>
      </c>
      <c r="F54" s="24" t="str">
        <f t="shared" si="5"/>
        <v>PASS</v>
      </c>
    </row>
    <row r="55" spans="1:6">
      <c r="A55" s="7" t="s">
        <v>140</v>
      </c>
      <c r="B55" s="36">
        <f>INDEX(Villas!$M$6:$M$14,MATCH(A55,Villas!$C$6:$C$14,0))</f>
        <v>2216904.21</v>
      </c>
      <c r="C55" s="36">
        <f>SUMIFS(Inflows!$J$7:$J$29,Inflows!$G$7:$G$29,A55,Inflows!$B$7:$B$29,"&lt;="&amp;Inputs!$B$11)</f>
        <v>0</v>
      </c>
      <c r="D55" s="36">
        <f t="shared" si="3"/>
        <v>2216904.21</v>
      </c>
      <c r="E55" s="36">
        <f t="shared" si="4"/>
        <v>0</v>
      </c>
      <c r="F55" s="25" t="str">
        <f t="shared" si="5"/>
        <v>PASS</v>
      </c>
    </row>
  </sheetData>
  <mergeCells count="3">
    <mergeCell ref="A1:I1"/>
    <mergeCell ref="A2:I2"/>
    <mergeCell ref="A45:F45"/>
  </mergeCells>
  <conditionalFormatting sqref="F47:F55">
    <cfRule type="containsText" dxfId="21" priority="2" operator="containsText" text="PASS"/>
    <cfRule type="containsText" dxfId="20" priority="3" operator="containsText" text="FAIL"/>
    <cfRule type="containsText" dxfId="19" priority="4" operator="containsText" text="WARNING"/>
  </conditionalFormatting>
  <conditionalFormatting sqref="I7:I42">
    <cfRule type="cellIs" dxfId="18" priority="1" operator="notEqual">
      <formula>0</formula>
    </cfRule>
  </conditionalFormatting>
  <hyperlinks>
    <hyperlink ref="J1" location="Cover!A1" tooltip="Back to Cover" display="← Back to Cover" xr:uid="{2A449081-07E4-4167-9488-3414FA072E33}"/>
    <hyperlink ref="N4" location="Cover!A1" tooltip="Back to Cover" display="← Back to Cover" xr:uid="{9D118DB4-6F3C-4447-9A3C-73FAFBEAEA67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V40"/>
  <sheetViews>
    <sheetView showGridLines="0" topLeftCell="B12" workbookViewId="0">
      <selection activeCell="G30" sqref="G30"/>
    </sheetView>
  </sheetViews>
  <sheetFormatPr defaultRowHeight="13.5"/>
  <cols>
    <col min="1" max="1" width="11" customWidth="1"/>
    <col min="2" max="2" width="20" customWidth="1"/>
    <col min="3" max="3" width="34" customWidth="1"/>
    <col min="4" max="5" width="16" customWidth="1"/>
    <col min="6" max="10" width="18" customWidth="1"/>
    <col min="11" max="12" width="15" customWidth="1"/>
    <col min="13" max="13" width="16" customWidth="1"/>
    <col min="14" max="14" width="42" customWidth="1"/>
    <col min="15" max="46" width="16" customWidth="1"/>
    <col min="48" max="49" width="16" customWidth="1"/>
  </cols>
  <sheetData>
    <row r="1" spans="1:48" ht="30" customHeight="1">
      <c r="A1" s="178" t="s">
        <v>246</v>
      </c>
      <c r="B1" s="178"/>
      <c r="C1" s="178"/>
      <c r="D1" s="178"/>
      <c r="E1" s="178"/>
      <c r="F1" s="178"/>
      <c r="G1" s="178"/>
      <c r="H1" s="178"/>
      <c r="I1" s="178"/>
      <c r="J1" s="124" t="s">
        <v>99</v>
      </c>
      <c r="N1" s="126"/>
    </row>
    <row r="2" spans="1:48" ht="28.15" customHeight="1">
      <c r="A2" s="177" t="s">
        <v>247</v>
      </c>
      <c r="B2" s="177"/>
      <c r="C2" s="177"/>
      <c r="D2" s="177"/>
      <c r="E2" s="177"/>
      <c r="F2" s="177"/>
      <c r="G2" s="177"/>
      <c r="H2" s="177"/>
      <c r="I2" s="177"/>
    </row>
    <row r="4" spans="1:48">
      <c r="A4" s="163" t="s">
        <v>99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79"/>
      <c r="O4" s="163" t="s">
        <v>248</v>
      </c>
      <c r="P4" s="163" t="s">
        <v>248</v>
      </c>
      <c r="Q4" s="163" t="s">
        <v>248</v>
      </c>
      <c r="R4" s="163" t="s">
        <v>248</v>
      </c>
      <c r="S4" s="163" t="s">
        <v>248</v>
      </c>
      <c r="T4" s="163" t="s">
        <v>248</v>
      </c>
      <c r="U4" s="163" t="s">
        <v>248</v>
      </c>
      <c r="V4" s="163" t="s">
        <v>248</v>
      </c>
      <c r="W4" s="163" t="s">
        <v>248</v>
      </c>
      <c r="X4" s="163" t="s">
        <v>249</v>
      </c>
      <c r="Y4" s="163" t="s">
        <v>249</v>
      </c>
      <c r="Z4" s="163" t="s">
        <v>249</v>
      </c>
      <c r="AA4" s="163" t="s">
        <v>249</v>
      </c>
      <c r="AB4" s="163" t="s">
        <v>249</v>
      </c>
      <c r="AC4" s="163" t="s">
        <v>249</v>
      </c>
      <c r="AD4" s="163" t="s">
        <v>249</v>
      </c>
      <c r="AE4" s="163" t="s">
        <v>249</v>
      </c>
      <c r="AF4" s="163" t="s">
        <v>249</v>
      </c>
      <c r="AG4" s="115" t="s">
        <v>250</v>
      </c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</row>
    <row r="6" spans="1:48" ht="30" customHeight="1">
      <c r="A6" s="2" t="s">
        <v>179</v>
      </c>
      <c r="B6" s="3" t="s">
        <v>113</v>
      </c>
      <c r="C6" s="3" t="s">
        <v>180</v>
      </c>
      <c r="D6" s="3" t="s">
        <v>251</v>
      </c>
      <c r="E6" s="3" t="s">
        <v>252</v>
      </c>
      <c r="F6" s="3" t="s">
        <v>253</v>
      </c>
      <c r="G6" s="3" t="s">
        <v>254</v>
      </c>
      <c r="H6" s="3" t="s">
        <v>255</v>
      </c>
      <c r="I6" s="3" t="s">
        <v>256</v>
      </c>
      <c r="J6" s="3" t="s">
        <v>116</v>
      </c>
      <c r="K6" s="3" t="s">
        <v>164</v>
      </c>
      <c r="L6" s="3" t="s">
        <v>165</v>
      </c>
      <c r="M6" s="3" t="s">
        <v>257</v>
      </c>
      <c r="N6" s="3" t="s">
        <v>258</v>
      </c>
      <c r="O6" s="3" t="s">
        <v>132</v>
      </c>
      <c r="P6" s="3" t="s">
        <v>133</v>
      </c>
      <c r="Q6" s="3" t="s">
        <v>134</v>
      </c>
      <c r="R6" s="3" t="s">
        <v>135</v>
      </c>
      <c r="S6" s="3" t="s">
        <v>136</v>
      </c>
      <c r="T6" s="3" t="s">
        <v>137</v>
      </c>
      <c r="U6" s="3" t="s">
        <v>138</v>
      </c>
      <c r="V6" s="3" t="s">
        <v>139</v>
      </c>
      <c r="W6" s="3" t="s">
        <v>140</v>
      </c>
      <c r="X6" s="3" t="s">
        <v>259</v>
      </c>
      <c r="Y6" s="3" t="s">
        <v>260</v>
      </c>
      <c r="Z6" s="3" t="s">
        <v>261</v>
      </c>
      <c r="AA6" s="3" t="s">
        <v>262</v>
      </c>
      <c r="AB6" s="3" t="s">
        <v>263</v>
      </c>
      <c r="AC6" s="3" t="s">
        <v>264</v>
      </c>
      <c r="AD6" s="3" t="s">
        <v>265</v>
      </c>
      <c r="AE6" s="3" t="s">
        <v>266</v>
      </c>
      <c r="AF6" s="3" t="s">
        <v>267</v>
      </c>
      <c r="AG6" s="3" t="s">
        <v>268</v>
      </c>
      <c r="AH6" s="3" t="s">
        <v>269</v>
      </c>
      <c r="AI6" s="3" t="s">
        <v>270</v>
      </c>
      <c r="AJ6" s="3" t="s">
        <v>271</v>
      </c>
      <c r="AK6" s="3" t="s">
        <v>272</v>
      </c>
      <c r="AL6" s="3" t="s">
        <v>273</v>
      </c>
      <c r="AM6" s="3" t="s">
        <v>274</v>
      </c>
      <c r="AN6" s="3" t="s">
        <v>275</v>
      </c>
      <c r="AO6" s="3" t="s">
        <v>276</v>
      </c>
      <c r="AP6" s="3" t="s">
        <v>277</v>
      </c>
      <c r="AQ6" s="3" t="s">
        <v>278</v>
      </c>
      <c r="AR6" s="3" t="s">
        <v>279</v>
      </c>
      <c r="AS6" s="3" t="s">
        <v>280</v>
      </c>
      <c r="AT6" s="3" t="s">
        <v>281</v>
      </c>
      <c r="AU6" s="4" t="s">
        <v>282</v>
      </c>
      <c r="AV6" s="121" t="s">
        <v>182</v>
      </c>
    </row>
    <row r="7" spans="1:48">
      <c r="A7" s="5" t="s">
        <v>283</v>
      </c>
      <c r="B7" s="5" t="s">
        <v>117</v>
      </c>
      <c r="C7" s="5" t="s">
        <v>284</v>
      </c>
      <c r="D7" s="20" t="s">
        <v>209</v>
      </c>
      <c r="E7" s="20" t="s">
        <v>285</v>
      </c>
      <c r="F7" s="32">
        <v>0</v>
      </c>
      <c r="G7" s="33">
        <f t="shared" ref="G7:G13" si="0">SUM(O7:W7)</f>
        <v>406514.48489000002</v>
      </c>
      <c r="H7" s="33">
        <f>SUMIFS(Outflows!$L$7:$L$163,Outflows!$H$7:$H$163,C7,Outflows!$B$7:$B$163,"&lt;="&amp;Inputs!$B$11)</f>
        <v>0</v>
      </c>
      <c r="I7" s="33">
        <f t="shared" ref="I7:I38" si="1">MAX(G7-H7,0)</f>
        <v>406514.48489000002</v>
      </c>
      <c r="J7" s="33">
        <f t="shared" ref="J7:J38" si="2">H7+I7</f>
        <v>406514.48489000002</v>
      </c>
      <c r="K7" s="63">
        <v>45292</v>
      </c>
      <c r="L7" s="63">
        <v>45839</v>
      </c>
      <c r="M7" s="57">
        <f>MAX(0,(YEAR(L7)-YEAR(MAX(K7,Inputs!$B$12)))*12+MONTH(L7)-MONTH(MAX(K7,Inputs!$B$12))+1)</f>
        <v>19</v>
      </c>
      <c r="N7" s="49" t="s">
        <v>286</v>
      </c>
      <c r="O7" s="32">
        <v>128399.47281399999</v>
      </c>
      <c r="P7" s="32">
        <v>81336.586809999993</v>
      </c>
      <c r="Q7" s="32">
        <v>115186.50019799999</v>
      </c>
      <c r="R7" s="32">
        <v>41970.725114000001</v>
      </c>
      <c r="S7" s="32">
        <v>0</v>
      </c>
      <c r="T7" s="32">
        <v>0</v>
      </c>
      <c r="U7" s="32">
        <v>0</v>
      </c>
      <c r="V7" s="32">
        <v>0</v>
      </c>
      <c r="W7" s="32">
        <v>39621.199954000003</v>
      </c>
      <c r="X7" s="66">
        <v>1</v>
      </c>
      <c r="Y7" s="66">
        <v>1</v>
      </c>
      <c r="Z7" s="66">
        <v>1</v>
      </c>
      <c r="AA7" s="66">
        <v>1</v>
      </c>
      <c r="AB7" s="66">
        <v>0</v>
      </c>
      <c r="AC7" s="66">
        <v>0</v>
      </c>
      <c r="AD7" s="66">
        <v>0</v>
      </c>
      <c r="AE7" s="66">
        <v>0</v>
      </c>
      <c r="AF7" s="66">
        <v>1</v>
      </c>
      <c r="AG7" s="69">
        <f t="shared" ref="AG7:AG38" si="3">SUM(O7:W7)</f>
        <v>406514.48489000002</v>
      </c>
      <c r="AH7" s="69">
        <f>Villas!$I$6*X7+Villas!$I$7*Y7+Villas!$I$8*Z7+Villas!$I$9*AA7+Villas!$I$10*AB7+Villas!$I$11*AC7+Villas!$I$12*AD7+Villas!$I$13*AE7+Villas!$I$14*AF7</f>
        <v>4948.47</v>
      </c>
      <c r="AI7" s="69">
        <f>Villas!$J$6*X7+Villas!$J$7*Y7+Villas!$J$8*Z7+Villas!$J$9*AA7+Villas!$J$10*AB7+Villas!$J$11*AC7+Villas!$J$12*AD7+Villas!$J$13*AE7+Villas!$J$14*AF7</f>
        <v>11808</v>
      </c>
      <c r="AJ7" s="69">
        <f>Villas!$K$6*X7+Villas!$K$7*Y7+Villas!$K$8*Z7+Villas!$K$9*AA7+Villas!$K$10*AB7+Villas!$K$11*AC7+Villas!$K$12*AD7+Villas!$K$13*AE7+Villas!$K$14*AF7</f>
        <v>11217713.053679582</v>
      </c>
      <c r="AK7" s="69">
        <f t="shared" ref="AK7:AK38" si="4">SUM(X7:AF7)</f>
        <v>5</v>
      </c>
      <c r="AL7" s="69">
        <f t="shared" ref="AL7:AL38" si="5">IF(E7="Direct",AG7,IF(E7="Building",AH7,IF(E7="Plot",AI7,IF(E7="Revenue",AJ7,AK7))))</f>
        <v>406514.48489000002</v>
      </c>
      <c r="AM7" s="72">
        <f>IFERROR(IF(E7="Direct",O7/$AL7,IF(E7="Building",Villas!$I6*X7/$AL7,IF(E7="Plot",Villas!$J6*X7/$AL7,IF(E7="Revenue",Villas!$K6*X7/$AL7,X7/$AL7)))),0)</f>
        <v>0.31585460687518674</v>
      </c>
      <c r="AN7" s="72">
        <f>IFERROR(IF(E7="Direct",P7/$AL7,IF(E7="Building",Villas!$I7*Y7/$AL7,IF(E7="Plot",Villas!$J7*Y7/$AL7,IF(E7="Revenue",Villas!$K7*Y7/$AL7,Y7/$AL7)))),0)</f>
        <v>0.20008287486240275</v>
      </c>
      <c r="AO7" s="72">
        <f>IFERROR(IF(E7="Direct",Q7/$AL7,IF(E7="Building",Villas!$I8*Z7/$AL7,IF(E7="Plot",Villas!$J8*Z7/$AL7,IF(E7="Revenue",Villas!$K8*Z7/$AL7,Z7/$AL7)))),0)</f>
        <v>0.28335152738571828</v>
      </c>
      <c r="AP7" s="72">
        <f>IFERROR(IF(E7="Direct",R7/$AL7,IF(E7="Building",Villas!$I9*AA7/$AL7,IF(E7="Plot",Villas!$J9*AA7/$AL7,IF(E7="Revenue",Villas!$K9*AA7/$AL7,AA7/$AL7)))),0)</f>
        <v>0.10324533731032237</v>
      </c>
      <c r="AQ7" s="72">
        <f>IFERROR(IF(E7="Direct",S7/$AL7,IF(E7="Building",Villas!$I10*AB7/$AL7,IF(E7="Plot",Villas!$J10*AB7/$AL7,IF(E7="Revenue",Villas!$K10*AB7/$AL7,AB7/$AL7)))),0)</f>
        <v>0</v>
      </c>
      <c r="AR7" s="72">
        <f>IFERROR(IF(E7="Direct",T7/$AL7,IF(E7="Building",Villas!$I11*AC7/$AL7,IF(E7="Plot",Villas!$J11*AC7/$AL7,IF(E7="Revenue",Villas!$K11*AC7/$AL7,AC7/$AL7)))),0)</f>
        <v>0</v>
      </c>
      <c r="AS7" s="72">
        <f>IFERROR(IF(E7="Direct",U7/$AL7,IF(E7="Building",Villas!$I12*AD7/$AL7,IF(E7="Plot",Villas!$J12*AD7/$AL7,IF(E7="Revenue",Villas!$K12*AD7/$AL7,AD7/$AL7)))),0)</f>
        <v>0</v>
      </c>
      <c r="AT7" s="72">
        <f>IFERROR(IF(E7="Direct",V7/$AL7,IF(E7="Building",Villas!$I13*AE7/$AL7,IF(E7="Plot",Villas!$J13*AE7/$AL7,IF(E7="Revenue",Villas!$K13*AE7/$AL7,AE7/$AL7)))),0)</f>
        <v>0</v>
      </c>
      <c r="AU7" s="72">
        <f>IFERROR(IF(E7="Direct",W7/$AL7,IF(E7="Building",Villas!$I14*AF7/$AL7,IF(E7="Plot",Villas!$J14*AF7/$AL7,IF(E7="Revenue",Villas!$K14*AF7/$AL7,AF7/$AL7)))),0)</f>
        <v>9.7465653566369784E-2</v>
      </c>
      <c r="AV7" s="72">
        <f>SUM(Development_Budget[[#This Row],[Horizon Ridge Top Weight]:[Kiri 3 Weight]])</f>
        <v>1</v>
      </c>
    </row>
    <row r="8" spans="1:48">
      <c r="A8" s="6" t="s">
        <v>287</v>
      </c>
      <c r="B8" s="6" t="s">
        <v>117</v>
      </c>
      <c r="C8" s="6" t="s">
        <v>288</v>
      </c>
      <c r="D8" s="21" t="s">
        <v>209</v>
      </c>
      <c r="E8" s="21" t="s">
        <v>285</v>
      </c>
      <c r="F8" s="34">
        <v>0</v>
      </c>
      <c r="G8" s="35">
        <f t="shared" si="0"/>
        <v>3967507.150223</v>
      </c>
      <c r="H8" s="35">
        <f>SUMIFS(Outflows!$L$7:$L$163,Outflows!$H$7:$H$163,C8,Outflows!$B$7:$B$163,"&lt;="&amp;Inputs!$B$11)</f>
        <v>0</v>
      </c>
      <c r="I8" s="35">
        <f t="shared" si="1"/>
        <v>3967507.150223</v>
      </c>
      <c r="J8" s="35">
        <f t="shared" si="2"/>
        <v>3967507.150223</v>
      </c>
      <c r="K8" s="64">
        <v>45323</v>
      </c>
      <c r="L8" s="64">
        <v>45839</v>
      </c>
      <c r="M8" s="58">
        <f>MAX(0,(YEAR(L8)-YEAR(MAX(K8,Inputs!$B$12)))*12+MONTH(L8)-MONTH(MAX(K8,Inputs!$B$12))+1)</f>
        <v>18</v>
      </c>
      <c r="N8" s="50" t="s">
        <v>286</v>
      </c>
      <c r="O8" s="34">
        <v>1173228.4946580001</v>
      </c>
      <c r="P8" s="34">
        <v>774648.82944999996</v>
      </c>
      <c r="Q8" s="34">
        <v>1160416.3676839999</v>
      </c>
      <c r="R8" s="34">
        <v>458986.306729</v>
      </c>
      <c r="S8" s="34">
        <v>0</v>
      </c>
      <c r="T8" s="34">
        <v>0</v>
      </c>
      <c r="U8" s="34">
        <v>0</v>
      </c>
      <c r="V8" s="34">
        <v>0</v>
      </c>
      <c r="W8" s="34">
        <v>400227.151702</v>
      </c>
      <c r="X8" s="67">
        <v>1</v>
      </c>
      <c r="Y8" s="67">
        <v>1</v>
      </c>
      <c r="Z8" s="67">
        <v>1</v>
      </c>
      <c r="AA8" s="67">
        <v>1</v>
      </c>
      <c r="AB8" s="67">
        <v>0</v>
      </c>
      <c r="AC8" s="67">
        <v>0</v>
      </c>
      <c r="AD8" s="67">
        <v>0</v>
      </c>
      <c r="AE8" s="67">
        <v>0</v>
      </c>
      <c r="AF8" s="67">
        <v>1</v>
      </c>
      <c r="AG8" s="70">
        <f t="shared" si="3"/>
        <v>3967507.150223</v>
      </c>
      <c r="AH8" s="70">
        <f>Villas!$I$6*X8+Villas!$I$7*Y8+Villas!$I$8*Z8+Villas!$I$9*AA8+Villas!$I$10*AB8+Villas!$I$11*AC8+Villas!$I$12*AD8+Villas!$I$13*AE8+Villas!$I$14*AF8</f>
        <v>4948.47</v>
      </c>
      <c r="AI8" s="70">
        <f>Villas!$J$6*X8+Villas!$J$7*Y8+Villas!$J$8*Z8+Villas!$J$9*AA8+Villas!$J$10*AB8+Villas!$J$11*AC8+Villas!$J$12*AD8+Villas!$J$13*AE8+Villas!$J$14*AF8</f>
        <v>11808</v>
      </c>
      <c r="AJ8" s="70">
        <f>Villas!$K$6*X8+Villas!$K$7*Y8+Villas!$K$8*Z8+Villas!$K$9*AA8+Villas!$K$10*AB8+Villas!$K$11*AC8+Villas!$K$12*AD8+Villas!$K$13*AE8+Villas!$K$14*AF8</f>
        <v>11217713.053679582</v>
      </c>
      <c r="AK8" s="70">
        <f t="shared" si="4"/>
        <v>5</v>
      </c>
      <c r="AL8" s="70">
        <f t="shared" si="5"/>
        <v>3967507.150223</v>
      </c>
      <c r="AM8" s="73">
        <f>IFERROR(IF(E8="Direct",O8/$AL8,IF(E8="Building",Villas!$I6*X8/$AL8,IF(E8="Plot",Villas!$J6*X8/$AL8,IF(E8="Revenue",Villas!$K6*X8/$AL8,X8/$AL8)))),0)</f>
        <v>0.29570923258249376</v>
      </c>
      <c r="AN8" s="73">
        <f>IFERROR(IF(E8="Direct",P8/$AL8,IF(E8="Building",Villas!$I7*Y8/$AL8,IF(E8="Plot",Villas!$J7*Y8/$AL8,IF(E8="Revenue",Villas!$K7*Y8/$AL8,Y8/$AL8)))),0)</f>
        <v>0.19524825037970242</v>
      </c>
      <c r="AO8" s="73">
        <f>IFERROR(IF(E8="Direct",Q8/$AL8,IF(E8="Building",Villas!$I8*Z8/$AL8,IF(E8="Plot",Villas!$J8*Z8/$AL8,IF(E8="Revenue",Villas!$K8*Z8/$AL8,Z8/$AL8)))),0)</f>
        <v>0.29247996884360422</v>
      </c>
      <c r="AP8" s="73">
        <f>IFERROR(IF(E8="Direct",R8/$AL8,IF(E8="Building",Villas!$I9*AA8/$AL8,IF(E8="Plot",Villas!$J9*AA8/$AL8,IF(E8="Revenue",Villas!$K9*AA8/$AL8,AA8/$AL8)))),0)</f>
        <v>0.11568632124663013</v>
      </c>
      <c r="AQ8" s="73">
        <f>IFERROR(IF(E8="Direct",S8/$AL8,IF(E8="Building",Villas!$I10*AB8/$AL8,IF(E8="Plot",Villas!$J10*AB8/$AL8,IF(E8="Revenue",Villas!$K10*AB8/$AL8,AB8/$AL8)))),0)</f>
        <v>0</v>
      </c>
      <c r="AR8" s="73">
        <f>IFERROR(IF(E8="Direct",T8/$AL8,IF(E8="Building",Villas!$I11*AC8/$AL8,IF(E8="Plot",Villas!$J11*AC8/$AL8,IF(E8="Revenue",Villas!$K11*AC8/$AL8,AC8/$AL8)))),0)</f>
        <v>0</v>
      </c>
      <c r="AS8" s="73">
        <f>IFERROR(IF(E8="Direct",U8/$AL8,IF(E8="Building",Villas!$I12*AD8/$AL8,IF(E8="Plot",Villas!$J12*AD8/$AL8,IF(E8="Revenue",Villas!$K12*AD8/$AL8,AD8/$AL8)))),0)</f>
        <v>0</v>
      </c>
      <c r="AT8" s="73">
        <f>IFERROR(IF(E8="Direct",V8/$AL8,IF(E8="Building",Villas!$I13*AE8/$AL8,IF(E8="Plot",Villas!$J13*AE8/$AL8,IF(E8="Revenue",Villas!$K13*AE8/$AL8,AE8/$AL8)))),0)</f>
        <v>0</v>
      </c>
      <c r="AU8" s="73">
        <f>IFERROR(IF(E8="Direct",W8/$AL8,IF(E8="Building",Villas!$I14*AF8/$AL8,IF(E8="Plot",Villas!$J14*AF8/$AL8,IF(E8="Revenue",Villas!$K14*AF8/$AL8,AF8/$AL8)))),0)</f>
        <v>0.10087622694756948</v>
      </c>
      <c r="AV8" s="73">
        <f>SUM(Development_Budget[[#This Row],[Horizon Ridge Top Weight]:[Kiri 3 Weight]])</f>
        <v>1</v>
      </c>
    </row>
    <row r="9" spans="1:48">
      <c r="A9" s="6" t="s">
        <v>289</v>
      </c>
      <c r="B9" s="6" t="s">
        <v>117</v>
      </c>
      <c r="C9" s="6" t="s">
        <v>290</v>
      </c>
      <c r="D9" s="21" t="s">
        <v>209</v>
      </c>
      <c r="E9" s="21" t="s">
        <v>285</v>
      </c>
      <c r="F9" s="34">
        <v>0</v>
      </c>
      <c r="G9" s="35">
        <f t="shared" si="0"/>
        <v>838926.40153599996</v>
      </c>
      <c r="H9" s="35">
        <f>SUMIFS(Outflows!$L$7:$L$163,Outflows!$H$7:$H$163,C9,Outflows!$B$7:$B$163,"&lt;="&amp;Inputs!$B$11)</f>
        <v>0</v>
      </c>
      <c r="I9" s="35">
        <f t="shared" si="1"/>
        <v>838926.40153599996</v>
      </c>
      <c r="J9" s="35">
        <f t="shared" si="2"/>
        <v>838926.40153599996</v>
      </c>
      <c r="K9" s="64">
        <v>45323</v>
      </c>
      <c r="L9" s="64">
        <v>45839</v>
      </c>
      <c r="M9" s="58">
        <f>MAX(0,(YEAR(L9)-YEAR(MAX(K9,Inputs!$B$12)))*12+MONTH(L9)-MONTH(MAX(K9,Inputs!$B$12))+1)</f>
        <v>18</v>
      </c>
      <c r="N9" s="50" t="s">
        <v>286</v>
      </c>
      <c r="O9" s="34">
        <v>275221.984</v>
      </c>
      <c r="P9" s="34">
        <v>181045.72985800001</v>
      </c>
      <c r="Q9" s="34">
        <v>180233.86564599999</v>
      </c>
      <c r="R9" s="34">
        <v>98776.818232000005</v>
      </c>
      <c r="S9" s="34">
        <v>0</v>
      </c>
      <c r="T9" s="34">
        <v>0</v>
      </c>
      <c r="U9" s="34">
        <v>0</v>
      </c>
      <c r="V9" s="34">
        <v>0</v>
      </c>
      <c r="W9" s="34">
        <v>103648.00380000001</v>
      </c>
      <c r="X9" s="67">
        <v>1</v>
      </c>
      <c r="Y9" s="67">
        <v>1</v>
      </c>
      <c r="Z9" s="67">
        <v>1</v>
      </c>
      <c r="AA9" s="67">
        <v>1</v>
      </c>
      <c r="AB9" s="67">
        <v>0</v>
      </c>
      <c r="AC9" s="67">
        <v>0</v>
      </c>
      <c r="AD9" s="67">
        <v>0</v>
      </c>
      <c r="AE9" s="67">
        <v>0</v>
      </c>
      <c r="AF9" s="67">
        <v>1</v>
      </c>
      <c r="AG9" s="70">
        <f t="shared" si="3"/>
        <v>838926.40153599996</v>
      </c>
      <c r="AH9" s="70">
        <f>Villas!$I$6*X9+Villas!$I$7*Y9+Villas!$I$8*Z9+Villas!$I$9*AA9+Villas!$I$10*AB9+Villas!$I$11*AC9+Villas!$I$12*AD9+Villas!$I$13*AE9+Villas!$I$14*AF9</f>
        <v>4948.47</v>
      </c>
      <c r="AI9" s="70">
        <f>Villas!$J$6*X9+Villas!$J$7*Y9+Villas!$J$8*Z9+Villas!$J$9*AA9+Villas!$J$10*AB9+Villas!$J$11*AC9+Villas!$J$12*AD9+Villas!$J$13*AE9+Villas!$J$14*AF9</f>
        <v>11808</v>
      </c>
      <c r="AJ9" s="70">
        <f>Villas!$K$6*X9+Villas!$K$7*Y9+Villas!$K$8*Z9+Villas!$K$9*AA9+Villas!$K$10*AB9+Villas!$K$11*AC9+Villas!$K$12*AD9+Villas!$K$13*AE9+Villas!$K$14*AF9</f>
        <v>11217713.053679582</v>
      </c>
      <c r="AK9" s="70">
        <f t="shared" si="4"/>
        <v>5</v>
      </c>
      <c r="AL9" s="70">
        <f t="shared" si="5"/>
        <v>838926.40153599996</v>
      </c>
      <c r="AM9" s="73">
        <f>IFERROR(IF(E9="Direct",O9/$AL9,IF(E9="Building",Villas!$I6*X9/$AL9,IF(E9="Plot",Villas!$J6*X9/$AL9,IF(E9="Revenue",Villas!$K6*X9/$AL9,X9/$AL9)))),0)</f>
        <v>0.32806451614360083</v>
      </c>
      <c r="AN9" s="73">
        <f>IFERROR(IF(E9="Direct",P9/$AL9,IF(E9="Building",Villas!$I7*Y9/$AL9,IF(E9="Plot",Villas!$J7*Y9/$AL9,IF(E9="Revenue",Villas!$K7*Y9/$AL9,Y9/$AL9)))),0)</f>
        <v>0.2158064515868392</v>
      </c>
      <c r="AO9" s="73">
        <f>IFERROR(IF(E9="Direct",Q9/$AL9,IF(E9="Building",Villas!$I8*Z9/$AL9,IF(E9="Plot",Villas!$J8*Z9/$AL9,IF(E9="Revenue",Villas!$K8*Z9/$AL9,Z9/$AL9)))),0)</f>
        <v>0.21483870970803606</v>
      </c>
      <c r="AP9" s="73">
        <f>IFERROR(IF(E9="Direct",R9/$AL9,IF(E9="Building",Villas!$I9*AA9/$AL9,IF(E9="Plot",Villas!$J9*AA9/$AL9,IF(E9="Revenue",Villas!$K9*AA9/$AL9,AA9/$AL9)))),0)</f>
        <v>0.11774193546793664</v>
      </c>
      <c r="AQ9" s="73">
        <f>IFERROR(IF(E9="Direct",S9/$AL9,IF(E9="Building",Villas!$I10*AB9/$AL9,IF(E9="Plot",Villas!$J10*AB9/$AL9,IF(E9="Revenue",Villas!$K10*AB9/$AL9,AB9/$AL9)))),0)</f>
        <v>0</v>
      </c>
      <c r="AR9" s="73">
        <f>IFERROR(IF(E9="Direct",T9/$AL9,IF(E9="Building",Villas!$I11*AC9/$AL9,IF(E9="Plot",Villas!$J11*AC9/$AL9,IF(E9="Revenue",Villas!$K11*AC9/$AL9,AC9/$AL9)))),0)</f>
        <v>0</v>
      </c>
      <c r="AS9" s="73">
        <f>IFERROR(IF(E9="Direct",U9/$AL9,IF(E9="Building",Villas!$I12*AD9/$AL9,IF(E9="Plot",Villas!$J12*AD9/$AL9,IF(E9="Revenue",Villas!$K12*AD9/$AL9,AD9/$AL9)))),0)</f>
        <v>0</v>
      </c>
      <c r="AT9" s="73">
        <f>IFERROR(IF(E9="Direct",V9/$AL9,IF(E9="Building",Villas!$I13*AE9/$AL9,IF(E9="Plot",Villas!$J13*AE9/$AL9,IF(E9="Revenue",Villas!$K13*AE9/$AL9,AE9/$AL9)))),0)</f>
        <v>0</v>
      </c>
      <c r="AU9" s="73">
        <f>IFERROR(IF(E9="Direct",W9/$AL9,IF(E9="Building",Villas!$I14*AF9/$AL9,IF(E9="Plot",Villas!$J14*AF9/$AL9,IF(E9="Revenue",Villas!$K14*AF9/$AL9,AF9/$AL9)))),0)</f>
        <v>0.12354838709358734</v>
      </c>
      <c r="AV9" s="73">
        <f>SUM(Development_Budget[[#This Row],[Horizon Ridge Top Weight]:[Kiri 3 Weight]])</f>
        <v>1.0000000000000002</v>
      </c>
    </row>
    <row r="10" spans="1:48">
      <c r="A10" s="6" t="s">
        <v>291</v>
      </c>
      <c r="B10" s="6" t="s">
        <v>117</v>
      </c>
      <c r="C10" s="6" t="s">
        <v>292</v>
      </c>
      <c r="D10" s="21" t="s">
        <v>209</v>
      </c>
      <c r="E10" s="21" t="s">
        <v>285</v>
      </c>
      <c r="F10" s="34">
        <v>0</v>
      </c>
      <c r="G10" s="35">
        <f t="shared" si="0"/>
        <v>125800</v>
      </c>
      <c r="H10" s="35">
        <f>SUMIFS(Outflows!$L$7:$L$163,Outflows!$H$7:$H$163,C10,Outflows!$B$7:$B$163,"&lt;="&amp;Inputs!$B$11)</f>
        <v>0</v>
      </c>
      <c r="I10" s="35">
        <f t="shared" si="1"/>
        <v>125800</v>
      </c>
      <c r="J10" s="35">
        <f t="shared" si="2"/>
        <v>125800</v>
      </c>
      <c r="K10" s="64">
        <v>45323</v>
      </c>
      <c r="L10" s="64">
        <v>45839</v>
      </c>
      <c r="M10" s="58">
        <f>MAX(0,(YEAR(L10)-YEAR(MAX(K10,Inputs!$B$12)))*12+MONTH(L10)-MONTH(MAX(K10,Inputs!$B$12))+1)</f>
        <v>18</v>
      </c>
      <c r="N10" s="50" t="s">
        <v>286</v>
      </c>
      <c r="O10" s="34">
        <v>25160</v>
      </c>
      <c r="P10" s="34">
        <v>25160</v>
      </c>
      <c r="Q10" s="34">
        <v>25160</v>
      </c>
      <c r="R10" s="34">
        <v>25160</v>
      </c>
      <c r="S10" s="34">
        <v>0</v>
      </c>
      <c r="T10" s="34">
        <v>0</v>
      </c>
      <c r="U10" s="34">
        <v>0</v>
      </c>
      <c r="V10" s="34">
        <v>0</v>
      </c>
      <c r="W10" s="34">
        <v>25160</v>
      </c>
      <c r="X10" s="67">
        <v>1</v>
      </c>
      <c r="Y10" s="67">
        <v>1</v>
      </c>
      <c r="Z10" s="67">
        <v>1</v>
      </c>
      <c r="AA10" s="67">
        <v>1</v>
      </c>
      <c r="AB10" s="67">
        <v>0</v>
      </c>
      <c r="AC10" s="67">
        <v>0</v>
      </c>
      <c r="AD10" s="67">
        <v>0</v>
      </c>
      <c r="AE10" s="67">
        <v>0</v>
      </c>
      <c r="AF10" s="67">
        <v>1</v>
      </c>
      <c r="AG10" s="70">
        <f t="shared" si="3"/>
        <v>125800</v>
      </c>
      <c r="AH10" s="70">
        <f>Villas!$I$6*X10+Villas!$I$7*Y10+Villas!$I$8*Z10+Villas!$I$9*AA10+Villas!$I$10*AB10+Villas!$I$11*AC10+Villas!$I$12*AD10+Villas!$I$13*AE10+Villas!$I$14*AF10</f>
        <v>4948.47</v>
      </c>
      <c r="AI10" s="70">
        <f>Villas!$J$6*X10+Villas!$J$7*Y10+Villas!$J$8*Z10+Villas!$J$9*AA10+Villas!$J$10*AB10+Villas!$J$11*AC10+Villas!$J$12*AD10+Villas!$J$13*AE10+Villas!$J$14*AF10</f>
        <v>11808</v>
      </c>
      <c r="AJ10" s="70">
        <f>Villas!$K$6*X10+Villas!$K$7*Y10+Villas!$K$8*Z10+Villas!$K$9*AA10+Villas!$K$10*AB10+Villas!$K$11*AC10+Villas!$K$12*AD10+Villas!$K$13*AE10+Villas!$K$14*AF10</f>
        <v>11217713.053679582</v>
      </c>
      <c r="AK10" s="70">
        <f t="shared" si="4"/>
        <v>5</v>
      </c>
      <c r="AL10" s="70">
        <f t="shared" si="5"/>
        <v>125800</v>
      </c>
      <c r="AM10" s="73">
        <f>IFERROR(IF(E10="Direct",O10/$AL10,IF(E10="Building",Villas!$I6*X10/$AL10,IF(E10="Plot",Villas!$J6*X10/$AL10,IF(E10="Revenue",Villas!$K6*X10/$AL10,X10/$AL10)))),0)</f>
        <v>0.2</v>
      </c>
      <c r="AN10" s="73">
        <f>IFERROR(IF(E10="Direct",P10/$AL10,IF(E10="Building",Villas!$I7*Y10/$AL10,IF(E10="Plot",Villas!$J7*Y10/$AL10,IF(E10="Revenue",Villas!$K7*Y10/$AL10,Y10/$AL10)))),0)</f>
        <v>0.2</v>
      </c>
      <c r="AO10" s="73">
        <f>IFERROR(IF(E10="Direct",Q10/$AL10,IF(E10="Building",Villas!$I8*Z10/$AL10,IF(E10="Plot",Villas!$J8*Z10/$AL10,IF(E10="Revenue",Villas!$K8*Z10/$AL10,Z10/$AL10)))),0)</f>
        <v>0.2</v>
      </c>
      <c r="AP10" s="73">
        <f>IFERROR(IF(E10="Direct",R10/$AL10,IF(E10="Building",Villas!$I9*AA10/$AL10,IF(E10="Plot",Villas!$J9*AA10/$AL10,IF(E10="Revenue",Villas!$K9*AA10/$AL10,AA10/$AL10)))),0)</f>
        <v>0.2</v>
      </c>
      <c r="AQ10" s="73">
        <f>IFERROR(IF(E10="Direct",S10/$AL10,IF(E10="Building",Villas!$I10*AB10/$AL10,IF(E10="Plot",Villas!$J10*AB10/$AL10,IF(E10="Revenue",Villas!$K10*AB10/$AL10,AB10/$AL10)))),0)</f>
        <v>0</v>
      </c>
      <c r="AR10" s="73">
        <f>IFERROR(IF(E10="Direct",T10/$AL10,IF(E10="Building",Villas!$I11*AC10/$AL10,IF(E10="Plot",Villas!$J11*AC10/$AL10,IF(E10="Revenue",Villas!$K11*AC10/$AL10,AC10/$AL10)))),0)</f>
        <v>0</v>
      </c>
      <c r="AS10" s="73">
        <f>IFERROR(IF(E10="Direct",U10/$AL10,IF(E10="Building",Villas!$I12*AD10/$AL10,IF(E10="Plot",Villas!$J12*AD10/$AL10,IF(E10="Revenue",Villas!$K12*AD10/$AL10,AD10/$AL10)))),0)</f>
        <v>0</v>
      </c>
      <c r="AT10" s="73">
        <f>IFERROR(IF(E10="Direct",V10/$AL10,IF(E10="Building",Villas!$I13*AE10/$AL10,IF(E10="Plot",Villas!$J13*AE10/$AL10,IF(E10="Revenue",Villas!$K13*AE10/$AL10,AE10/$AL10)))),0)</f>
        <v>0</v>
      </c>
      <c r="AU10" s="73">
        <f>IFERROR(IF(E10="Direct",W10/$AL10,IF(E10="Building",Villas!$I14*AF10/$AL10,IF(E10="Plot",Villas!$J14*AF10/$AL10,IF(E10="Revenue",Villas!$K14*AF10/$AL10,AF10/$AL10)))),0)</f>
        <v>0.2</v>
      </c>
      <c r="AV10" s="73">
        <f>SUM(Development_Budget[[#This Row],[Horizon Ridge Top Weight]:[Kiri 3 Weight]])</f>
        <v>1</v>
      </c>
    </row>
    <row r="11" spans="1:48">
      <c r="A11" s="6" t="s">
        <v>293</v>
      </c>
      <c r="B11" s="6" t="s">
        <v>117</v>
      </c>
      <c r="C11" s="6" t="s">
        <v>294</v>
      </c>
      <c r="D11" s="21" t="s">
        <v>209</v>
      </c>
      <c r="E11" s="21" t="s">
        <v>285</v>
      </c>
      <c r="F11" s="34">
        <v>0</v>
      </c>
      <c r="G11" s="35">
        <f t="shared" si="0"/>
        <v>175000</v>
      </c>
      <c r="H11" s="35">
        <f>SUMIFS(Outflows!$L$7:$L$163,Outflows!$H$7:$H$163,C11,Outflows!$B$7:$B$163,"&lt;="&amp;Inputs!$B$11)</f>
        <v>0</v>
      </c>
      <c r="I11" s="35">
        <f t="shared" si="1"/>
        <v>175000</v>
      </c>
      <c r="J11" s="35">
        <f t="shared" si="2"/>
        <v>175000</v>
      </c>
      <c r="K11" s="64">
        <v>45505</v>
      </c>
      <c r="L11" s="64">
        <v>45839</v>
      </c>
      <c r="M11" s="58">
        <f>MAX(0,(YEAR(L11)-YEAR(MAX(K11,Inputs!$B$12)))*12+MONTH(L11)-MONTH(MAX(K11,Inputs!$B$12))+1)</f>
        <v>12</v>
      </c>
      <c r="N11" s="50" t="s">
        <v>286</v>
      </c>
      <c r="O11" s="34">
        <v>35000</v>
      </c>
      <c r="P11" s="34">
        <v>35000</v>
      </c>
      <c r="Q11" s="34">
        <v>35000</v>
      </c>
      <c r="R11" s="34">
        <v>35000</v>
      </c>
      <c r="S11" s="34">
        <v>0</v>
      </c>
      <c r="T11" s="34">
        <v>0</v>
      </c>
      <c r="U11" s="34">
        <v>0</v>
      </c>
      <c r="V11" s="34">
        <v>0</v>
      </c>
      <c r="W11" s="34">
        <v>35000</v>
      </c>
      <c r="X11" s="67">
        <v>1</v>
      </c>
      <c r="Y11" s="67">
        <v>1</v>
      </c>
      <c r="Z11" s="67">
        <v>1</v>
      </c>
      <c r="AA11" s="67">
        <v>1</v>
      </c>
      <c r="AB11" s="67">
        <v>0</v>
      </c>
      <c r="AC11" s="67">
        <v>0</v>
      </c>
      <c r="AD11" s="67">
        <v>0</v>
      </c>
      <c r="AE11" s="67">
        <v>0</v>
      </c>
      <c r="AF11" s="67">
        <v>1</v>
      </c>
      <c r="AG11" s="70">
        <f t="shared" si="3"/>
        <v>175000</v>
      </c>
      <c r="AH11" s="70">
        <f>Villas!$I$6*X11+Villas!$I$7*Y11+Villas!$I$8*Z11+Villas!$I$9*AA11+Villas!$I$10*AB11+Villas!$I$11*AC11+Villas!$I$12*AD11+Villas!$I$13*AE11+Villas!$I$14*AF11</f>
        <v>4948.47</v>
      </c>
      <c r="AI11" s="70">
        <f>Villas!$J$6*X11+Villas!$J$7*Y11+Villas!$J$8*Z11+Villas!$J$9*AA11+Villas!$J$10*AB11+Villas!$J$11*AC11+Villas!$J$12*AD11+Villas!$J$13*AE11+Villas!$J$14*AF11</f>
        <v>11808</v>
      </c>
      <c r="AJ11" s="70">
        <f>Villas!$K$6*X11+Villas!$K$7*Y11+Villas!$K$8*Z11+Villas!$K$9*AA11+Villas!$K$10*AB11+Villas!$K$11*AC11+Villas!$K$12*AD11+Villas!$K$13*AE11+Villas!$K$14*AF11</f>
        <v>11217713.053679582</v>
      </c>
      <c r="AK11" s="70">
        <f t="shared" si="4"/>
        <v>5</v>
      </c>
      <c r="AL11" s="70">
        <f t="shared" si="5"/>
        <v>175000</v>
      </c>
      <c r="AM11" s="73">
        <f>IFERROR(IF(E11="Direct",O11/$AL11,IF(E11="Building",Villas!$I6*X11/$AL11,IF(E11="Plot",Villas!$J6*X11/$AL11,IF(E11="Revenue",Villas!$K6*X11/$AL11,X11/$AL11)))),0)</f>
        <v>0.2</v>
      </c>
      <c r="AN11" s="73">
        <f>IFERROR(IF(E11="Direct",P11/$AL11,IF(E11="Building",Villas!$I7*Y11/$AL11,IF(E11="Plot",Villas!$J7*Y11/$AL11,IF(E11="Revenue",Villas!$K7*Y11/$AL11,Y11/$AL11)))),0)</f>
        <v>0.2</v>
      </c>
      <c r="AO11" s="73">
        <f>IFERROR(IF(E11="Direct",Q11/$AL11,IF(E11="Building",Villas!$I8*Z11/$AL11,IF(E11="Plot",Villas!$J8*Z11/$AL11,IF(E11="Revenue",Villas!$K8*Z11/$AL11,Z11/$AL11)))),0)</f>
        <v>0.2</v>
      </c>
      <c r="AP11" s="73">
        <f>IFERROR(IF(E11="Direct",R11/$AL11,IF(E11="Building",Villas!$I9*AA11/$AL11,IF(E11="Plot",Villas!$J9*AA11/$AL11,IF(E11="Revenue",Villas!$K9*AA11/$AL11,AA11/$AL11)))),0)</f>
        <v>0.2</v>
      </c>
      <c r="AQ11" s="73">
        <f>IFERROR(IF(E11="Direct",S11/$AL11,IF(E11="Building",Villas!$I10*AB11/$AL11,IF(E11="Plot",Villas!$J10*AB11/$AL11,IF(E11="Revenue",Villas!$K10*AB11/$AL11,AB11/$AL11)))),0)</f>
        <v>0</v>
      </c>
      <c r="AR11" s="73">
        <f>IFERROR(IF(E11="Direct",T11/$AL11,IF(E11="Building",Villas!$I11*AC11/$AL11,IF(E11="Plot",Villas!$J11*AC11/$AL11,IF(E11="Revenue",Villas!$K11*AC11/$AL11,AC11/$AL11)))),0)</f>
        <v>0</v>
      </c>
      <c r="AS11" s="73">
        <f>IFERROR(IF(E11="Direct",U11/$AL11,IF(E11="Building",Villas!$I12*AD11/$AL11,IF(E11="Plot",Villas!$J12*AD11/$AL11,IF(E11="Revenue",Villas!$K12*AD11/$AL11,AD11/$AL11)))),0)</f>
        <v>0</v>
      </c>
      <c r="AT11" s="73">
        <f>IFERROR(IF(E11="Direct",V11/$AL11,IF(E11="Building",Villas!$I13*AE11/$AL11,IF(E11="Plot",Villas!$J13*AE11/$AL11,IF(E11="Revenue",Villas!$K13*AE11/$AL11,AE11/$AL11)))),0)</f>
        <v>0</v>
      </c>
      <c r="AU11" s="73">
        <f>IFERROR(IF(E11="Direct",W11/$AL11,IF(E11="Building",Villas!$I14*AF11/$AL11,IF(E11="Plot",Villas!$J14*AF11/$AL11,IF(E11="Revenue",Villas!$K14*AF11/$AL11,AF11/$AL11)))),0)</f>
        <v>0.2</v>
      </c>
      <c r="AV11" s="73">
        <f>SUM(Development_Budget[[#This Row],[Horizon Ridge Top Weight]:[Kiri 3 Weight]])</f>
        <v>1</v>
      </c>
    </row>
    <row r="12" spans="1:48">
      <c r="A12" s="6" t="s">
        <v>295</v>
      </c>
      <c r="B12" s="6" t="s">
        <v>117</v>
      </c>
      <c r="C12" s="6" t="s">
        <v>296</v>
      </c>
      <c r="D12" s="21" t="s">
        <v>209</v>
      </c>
      <c r="E12" s="21" t="s">
        <v>285</v>
      </c>
      <c r="F12" s="34">
        <v>0</v>
      </c>
      <c r="G12" s="35">
        <f t="shared" si="0"/>
        <v>447699.99999999994</v>
      </c>
      <c r="H12" s="35">
        <f>SUMIFS(Outflows!$L$7:$L$163,Outflows!$H$7:$H$163,C12,Outflows!$B$7:$B$163,"&lt;="&amp;Inputs!$B$11)</f>
        <v>0</v>
      </c>
      <c r="I12" s="35">
        <f t="shared" si="1"/>
        <v>447699.99999999994</v>
      </c>
      <c r="J12" s="35">
        <f t="shared" si="2"/>
        <v>447699.99999999994</v>
      </c>
      <c r="K12" s="64">
        <v>45292</v>
      </c>
      <c r="L12" s="64">
        <v>45444</v>
      </c>
      <c r="M12" s="58">
        <f>MAX(0,(YEAR(L12)-YEAR(MAX(K12,Inputs!$B$12)))*12+MONTH(L12)-MONTH(MAX(K12,Inputs!$B$12))+1)</f>
        <v>6</v>
      </c>
      <c r="N12" s="50" t="s">
        <v>286</v>
      </c>
      <c r="O12" s="34">
        <v>152201.73306100001</v>
      </c>
      <c r="P12" s="34">
        <v>86337.819568000006</v>
      </c>
      <c r="Q12" s="34">
        <v>110737.323456</v>
      </c>
      <c r="R12" s="34">
        <v>40964.097185999999</v>
      </c>
      <c r="S12" s="34">
        <v>0</v>
      </c>
      <c r="T12" s="34">
        <v>0</v>
      </c>
      <c r="U12" s="34">
        <v>0</v>
      </c>
      <c r="V12" s="34">
        <v>0</v>
      </c>
      <c r="W12" s="34">
        <v>57459.026728999997</v>
      </c>
      <c r="X12" s="67">
        <v>1</v>
      </c>
      <c r="Y12" s="67">
        <v>1</v>
      </c>
      <c r="Z12" s="67">
        <v>1</v>
      </c>
      <c r="AA12" s="67">
        <v>1</v>
      </c>
      <c r="AB12" s="67">
        <v>0</v>
      </c>
      <c r="AC12" s="67">
        <v>0</v>
      </c>
      <c r="AD12" s="67">
        <v>0</v>
      </c>
      <c r="AE12" s="67">
        <v>0</v>
      </c>
      <c r="AF12" s="67">
        <v>1</v>
      </c>
      <c r="AG12" s="70">
        <f t="shared" si="3"/>
        <v>447699.99999999994</v>
      </c>
      <c r="AH12" s="70">
        <f>Villas!$I$6*X12+Villas!$I$7*Y12+Villas!$I$8*Z12+Villas!$I$9*AA12+Villas!$I$10*AB12+Villas!$I$11*AC12+Villas!$I$12*AD12+Villas!$I$13*AE12+Villas!$I$14*AF12</f>
        <v>4948.47</v>
      </c>
      <c r="AI12" s="70">
        <f>Villas!$J$6*X12+Villas!$J$7*Y12+Villas!$J$8*Z12+Villas!$J$9*AA12+Villas!$J$10*AB12+Villas!$J$11*AC12+Villas!$J$12*AD12+Villas!$J$13*AE12+Villas!$J$14*AF12</f>
        <v>11808</v>
      </c>
      <c r="AJ12" s="70">
        <f>Villas!$K$6*X12+Villas!$K$7*Y12+Villas!$K$8*Z12+Villas!$K$9*AA12+Villas!$K$10*AB12+Villas!$K$11*AC12+Villas!$K$12*AD12+Villas!$K$13*AE12+Villas!$K$14*AF12</f>
        <v>11217713.053679582</v>
      </c>
      <c r="AK12" s="70">
        <f t="shared" si="4"/>
        <v>5</v>
      </c>
      <c r="AL12" s="70">
        <f t="shared" si="5"/>
        <v>447699.99999999994</v>
      </c>
      <c r="AM12" s="73">
        <f>IFERROR(IF(E12="Direct",O12/$AL12,IF(E12="Building",Villas!$I6*X12/$AL12,IF(E12="Plot",Villas!$J6*X12/$AL12,IF(E12="Revenue",Villas!$K6*X12/$AL12,X12/$AL12)))),0)</f>
        <v>0.33996366553719015</v>
      </c>
      <c r="AN12" s="73">
        <f>IFERROR(IF(E12="Direct",P12/$AL12,IF(E12="Building",Villas!$I7*Y12/$AL12,IF(E12="Plot",Villas!$J7*Y12/$AL12,IF(E12="Revenue",Villas!$K7*Y12/$AL12,Y12/$AL12)))),0)</f>
        <v>0.19284748619164624</v>
      </c>
      <c r="AO12" s="73">
        <f>IFERROR(IF(E12="Direct",Q12/$AL12,IF(E12="Building",Villas!$I8*Z12/$AL12,IF(E12="Plot",Villas!$J8*Z12/$AL12,IF(E12="Revenue",Villas!$K8*Z12/$AL12,Z12/$AL12)))),0)</f>
        <v>0.2473471598302435</v>
      </c>
      <c r="AP12" s="73">
        <f>IFERROR(IF(E12="Direct",R12/$AL12,IF(E12="Building",Villas!$I9*AA12/$AL12,IF(E12="Plot",Villas!$J9*AA12/$AL12,IF(E12="Revenue",Villas!$K9*AA12/$AL12,AA12/$AL12)))),0)</f>
        <v>9.149898857717223E-2</v>
      </c>
      <c r="AQ12" s="73">
        <f>IFERROR(IF(E12="Direct",S12/$AL12,IF(E12="Building",Villas!$I10*AB12/$AL12,IF(E12="Plot",Villas!$J10*AB12/$AL12,IF(E12="Revenue",Villas!$K10*AB12/$AL12,AB12/$AL12)))),0)</f>
        <v>0</v>
      </c>
      <c r="AR12" s="73">
        <f>IFERROR(IF(E12="Direct",T12/$AL12,IF(E12="Building",Villas!$I11*AC12/$AL12,IF(E12="Plot",Villas!$J11*AC12/$AL12,IF(E12="Revenue",Villas!$K11*AC12/$AL12,AC12/$AL12)))),0)</f>
        <v>0</v>
      </c>
      <c r="AS12" s="73">
        <f>IFERROR(IF(E12="Direct",U12/$AL12,IF(E12="Building",Villas!$I12*AD12/$AL12,IF(E12="Plot",Villas!$J12*AD12/$AL12,IF(E12="Revenue",Villas!$K12*AD12/$AL12,AD12/$AL12)))),0)</f>
        <v>0</v>
      </c>
      <c r="AT12" s="73">
        <f>IFERROR(IF(E12="Direct",V12/$AL12,IF(E12="Building",Villas!$I13*AE12/$AL12,IF(E12="Plot",Villas!$J13*AE12/$AL12,IF(E12="Revenue",Villas!$K13*AE12/$AL12,AE12/$AL12)))),0)</f>
        <v>0</v>
      </c>
      <c r="AU12" s="73">
        <f>IFERROR(IF(E12="Direct",W12/$AL12,IF(E12="Building",Villas!$I14*AF12/$AL12,IF(E12="Plot",Villas!$J14*AF12/$AL12,IF(E12="Revenue",Villas!$K14*AF12/$AL12,AF12/$AL12)))),0)</f>
        <v>0.12834269986374805</v>
      </c>
      <c r="AV12" s="73">
        <f>SUM(Development_Budget[[#This Row],[Horizon Ridge Top Weight]:[Kiri 3 Weight]])</f>
        <v>1.0000000000000002</v>
      </c>
    </row>
    <row r="13" spans="1:48">
      <c r="A13" s="6" t="s">
        <v>297</v>
      </c>
      <c r="B13" s="6" t="s">
        <v>117</v>
      </c>
      <c r="C13" s="6" t="s">
        <v>298</v>
      </c>
      <c r="D13" s="21" t="s">
        <v>209</v>
      </c>
      <c r="E13" s="21" t="s">
        <v>285</v>
      </c>
      <c r="F13" s="34">
        <v>0</v>
      </c>
      <c r="G13" s="35">
        <f t="shared" si="0"/>
        <v>139829.53333299997</v>
      </c>
      <c r="H13" s="35">
        <f>SUMIFS(Outflows!$L$7:$L$163,Outflows!$H$7:$H$163,C13,Outflows!$B$7:$B$163,"&lt;="&amp;Inputs!$B$11)</f>
        <v>0</v>
      </c>
      <c r="I13" s="35">
        <f t="shared" si="1"/>
        <v>139829.53333299997</v>
      </c>
      <c r="J13" s="35">
        <f t="shared" si="2"/>
        <v>139829.53333299997</v>
      </c>
      <c r="K13" s="64">
        <v>45292</v>
      </c>
      <c r="L13" s="64">
        <v>45444</v>
      </c>
      <c r="M13" s="58">
        <f>MAX(0,(YEAR(L13)-YEAR(MAX(K13,Inputs!$B$12)))*12+MONTH(L13)-MONTH(MAX(K13,Inputs!$B$12))+1)</f>
        <v>6</v>
      </c>
      <c r="N13" s="50" t="s">
        <v>299</v>
      </c>
      <c r="O13" s="34">
        <v>47536.960701999997</v>
      </c>
      <c r="P13" s="34">
        <v>26965.773999000001</v>
      </c>
      <c r="Q13" s="34">
        <v>34586.43793</v>
      </c>
      <c r="R13" s="34">
        <v>12794.260872999999</v>
      </c>
      <c r="S13" s="34">
        <v>0</v>
      </c>
      <c r="T13" s="34">
        <v>0</v>
      </c>
      <c r="U13" s="34">
        <v>0</v>
      </c>
      <c r="V13" s="34">
        <v>0</v>
      </c>
      <c r="W13" s="34">
        <v>17946.099828999999</v>
      </c>
      <c r="X13" s="67">
        <v>1</v>
      </c>
      <c r="Y13" s="67">
        <v>1</v>
      </c>
      <c r="Z13" s="67">
        <v>1</v>
      </c>
      <c r="AA13" s="67">
        <v>1</v>
      </c>
      <c r="AB13" s="67">
        <v>0</v>
      </c>
      <c r="AC13" s="67">
        <v>0</v>
      </c>
      <c r="AD13" s="67">
        <v>0</v>
      </c>
      <c r="AE13" s="67">
        <v>0</v>
      </c>
      <c r="AF13" s="67">
        <v>1</v>
      </c>
      <c r="AG13" s="70">
        <f t="shared" si="3"/>
        <v>139829.53333299997</v>
      </c>
      <c r="AH13" s="70">
        <f>Villas!$I$6*X13+Villas!$I$7*Y13+Villas!$I$8*Z13+Villas!$I$9*AA13+Villas!$I$10*AB13+Villas!$I$11*AC13+Villas!$I$12*AD13+Villas!$I$13*AE13+Villas!$I$14*AF13</f>
        <v>4948.47</v>
      </c>
      <c r="AI13" s="70">
        <f>Villas!$J$6*X13+Villas!$J$7*Y13+Villas!$J$8*Z13+Villas!$J$9*AA13+Villas!$J$10*AB13+Villas!$J$11*AC13+Villas!$J$12*AD13+Villas!$J$13*AE13+Villas!$J$14*AF13</f>
        <v>11808</v>
      </c>
      <c r="AJ13" s="70">
        <f>Villas!$K$6*X13+Villas!$K$7*Y13+Villas!$K$8*Z13+Villas!$K$9*AA13+Villas!$K$10*AB13+Villas!$K$11*AC13+Villas!$K$12*AD13+Villas!$K$13*AE13+Villas!$K$14*AF13</f>
        <v>11217713.053679582</v>
      </c>
      <c r="AK13" s="70">
        <f t="shared" si="4"/>
        <v>5</v>
      </c>
      <c r="AL13" s="70">
        <f t="shared" si="5"/>
        <v>139829.53333299997</v>
      </c>
      <c r="AM13" s="73">
        <f>IFERROR(IF(E13="Direct",O13/$AL13,IF(E13="Building",Villas!$I6*X13/$AL13,IF(E13="Plot",Villas!$J6*X13/$AL13,IF(E13="Revenue",Villas!$K6*X13/$AL13,X13/$AL13)))),0)</f>
        <v>0.33996366553546387</v>
      </c>
      <c r="AN13" s="73">
        <f>IFERROR(IF(E13="Direct",P13/$AL13,IF(E13="Building",Villas!$I7*Y13/$AL13,IF(E13="Plot",Villas!$J7*Y13/$AL13,IF(E13="Revenue",Villas!$K7*Y13/$AL13,Y13/$AL13)))),0)</f>
        <v>0.19284748619436348</v>
      </c>
      <c r="AO13" s="73">
        <f>IFERROR(IF(E13="Direct",Q13/$AL13,IF(E13="Building",Villas!$I8*Z13/$AL13,IF(E13="Plot",Villas!$J8*Z13/$AL13,IF(E13="Revenue",Villas!$K8*Z13/$AL13,Z13/$AL13)))),0)</f>
        <v>0.2473471598280558</v>
      </c>
      <c r="AP13" s="73">
        <f>IFERROR(IF(E13="Direct",R13/$AL13,IF(E13="Building",Villas!$I9*AA13/$AL13,IF(E13="Plot",Villas!$J9*AA13/$AL13,IF(E13="Revenue",Villas!$K9*AA13/$AL13,AA13/$AL13)))),0)</f>
        <v>9.14989885758314E-2</v>
      </c>
      <c r="AQ13" s="73">
        <f>IFERROR(IF(E13="Direct",S13/$AL13,IF(E13="Building",Villas!$I10*AB13/$AL13,IF(E13="Plot",Villas!$J10*AB13/$AL13,IF(E13="Revenue",Villas!$K10*AB13/$AL13,AB13/$AL13)))),0)</f>
        <v>0</v>
      </c>
      <c r="AR13" s="73">
        <f>IFERROR(IF(E13="Direct",T13/$AL13,IF(E13="Building",Villas!$I11*AC13/$AL13,IF(E13="Plot",Villas!$J11*AC13/$AL13,IF(E13="Revenue",Villas!$K11*AC13/$AL13,AC13/$AL13)))),0)</f>
        <v>0</v>
      </c>
      <c r="AS13" s="73">
        <f>IFERROR(IF(E13="Direct",U13/$AL13,IF(E13="Building",Villas!$I12*AD13/$AL13,IF(E13="Plot",Villas!$J12*AD13/$AL13,IF(E13="Revenue",Villas!$K12*AD13/$AL13,AD13/$AL13)))),0)</f>
        <v>0</v>
      </c>
      <c r="AT13" s="73">
        <f>IFERROR(IF(E13="Direct",V13/$AL13,IF(E13="Building",Villas!$I13*AE13/$AL13,IF(E13="Plot",Villas!$J13*AE13/$AL13,IF(E13="Revenue",Villas!$K13*AE13/$AL13,AE13/$AL13)))),0)</f>
        <v>0</v>
      </c>
      <c r="AU13" s="73">
        <f>IFERROR(IF(E13="Direct",W13/$AL13,IF(E13="Building",Villas!$I14*AF13/$AL13,IF(E13="Plot",Villas!$J14*AF13/$AL13,IF(E13="Revenue",Villas!$K14*AF13/$AL13,AF13/$AL13)))),0)</f>
        <v>0.12834269986628563</v>
      </c>
      <c r="AV13" s="73">
        <f>SUM(Development_Budget[[#This Row],[Horizon Ridge Top Weight]:[Kiri 3 Weight]])</f>
        <v>1</v>
      </c>
    </row>
    <row r="14" spans="1:48">
      <c r="A14" s="6" t="s">
        <v>300</v>
      </c>
      <c r="B14" s="6" t="s">
        <v>118</v>
      </c>
      <c r="C14" s="6" t="s">
        <v>301</v>
      </c>
      <c r="D14" s="21" t="s">
        <v>209</v>
      </c>
      <c r="E14" s="21" t="s">
        <v>302</v>
      </c>
      <c r="F14" s="34">
        <v>293605.04639999999</v>
      </c>
      <c r="G14" s="35">
        <f t="shared" ref="G14:G29" si="6">F14</f>
        <v>293605.04639999999</v>
      </c>
      <c r="H14" s="35">
        <f>SUMIFS(Outflows!$L$7:$L$163,Outflows!$H$7:$H$163,C14,Outflows!$B$7:$B$163,"&lt;="&amp;Inputs!$B$11)</f>
        <v>223272.05766904238</v>
      </c>
      <c r="I14" s="35">
        <f t="shared" si="1"/>
        <v>70332.988730957615</v>
      </c>
      <c r="J14" s="35">
        <f t="shared" si="2"/>
        <v>293605.04639999999</v>
      </c>
      <c r="K14" s="64">
        <v>45292</v>
      </c>
      <c r="L14" s="64">
        <v>45627</v>
      </c>
      <c r="M14" s="58">
        <f>MAX(0,(YEAR(L14)-YEAR(MAX(K14,Inputs!$B$12)))*12+MONTH(L14)-MONTH(MAX(K14,Inputs!$B$12))+1)</f>
        <v>12</v>
      </c>
      <c r="N14" s="50" t="s">
        <v>303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67">
        <v>1</v>
      </c>
      <c r="Y14" s="67">
        <v>1</v>
      </c>
      <c r="Z14" s="67">
        <v>1</v>
      </c>
      <c r="AA14" s="67">
        <v>1</v>
      </c>
      <c r="AB14" s="67">
        <v>1</v>
      </c>
      <c r="AC14" s="67">
        <v>1</v>
      </c>
      <c r="AD14" s="67">
        <v>1</v>
      </c>
      <c r="AE14" s="67">
        <v>1</v>
      </c>
      <c r="AF14" s="67">
        <v>1</v>
      </c>
      <c r="AG14" s="70">
        <f t="shared" si="3"/>
        <v>0</v>
      </c>
      <c r="AH14" s="70">
        <f>Villas!$I$6*X14+Villas!$I$7*Y14+Villas!$I$8*Z14+Villas!$I$9*AA14+Villas!$I$10*AB14+Villas!$I$11*AC14+Villas!$I$12*AD14+Villas!$I$13*AE14+Villas!$I$14*AF14</f>
        <v>10929.56</v>
      </c>
      <c r="AI14" s="70">
        <f>Villas!$J$6*X14+Villas!$J$7*Y14+Villas!$J$8*Z14+Villas!$J$9*AA14+Villas!$J$10*AB14+Villas!$J$11*AC14+Villas!$J$12*AD14+Villas!$J$13*AE14+Villas!$J$14*AF14</f>
        <v>41035</v>
      </c>
      <c r="AJ14" s="70">
        <f>Villas!$K$6*X14+Villas!$K$7*Y14+Villas!$K$8*Z14+Villas!$K$9*AA14+Villas!$K$10*AB14+Villas!$K$11*AC14+Villas!$K$12*AD14+Villas!$K$13*AE14+Villas!$K$14*AF14</f>
        <v>11217713.053679582</v>
      </c>
      <c r="AK14" s="70">
        <f t="shared" si="4"/>
        <v>9</v>
      </c>
      <c r="AL14" s="70">
        <f t="shared" si="5"/>
        <v>10929.56</v>
      </c>
      <c r="AM14" s="73">
        <f>IFERROR(IF(E14="Direct",O14/$AL14,IF(E14="Building",Villas!$I6*X14/$AL14,IF(E14="Plot",Villas!$J6*X14/$AL14,IF(E14="Revenue",Villas!$K6*X14/$AL14,X14/$AL14)))),0)</f>
        <v>0.15392202430838939</v>
      </c>
      <c r="AN14" s="73">
        <f>IFERROR(IF(E14="Direct",P14/$AL14,IF(E14="Building",Villas!$I7*Y14/$AL14,IF(E14="Plot",Villas!$J7*Y14/$AL14,IF(E14="Revenue",Villas!$K7*Y14/$AL14,Y14/$AL14)))),0)</f>
        <v>8.7313670449679581E-2</v>
      </c>
      <c r="AO14" s="73">
        <f>IFERROR(IF(E14="Direct",Q14/$AL14,IF(E14="Building",Villas!$I8*Z14/$AL14,IF(E14="Plot",Villas!$J8*Z14/$AL14,IF(E14="Revenue",Villas!$K8*Z14/$AL14,Z14/$AL14)))),0)</f>
        <v>0.11198895472461838</v>
      </c>
      <c r="AP14" s="73">
        <f>IFERROR(IF(E14="Direct",R14/$AL14,IF(E14="Building",Villas!$I9*AA14/$AL14,IF(E14="Plot",Villas!$J9*AA14/$AL14,IF(E14="Revenue",Villas!$K9*AA14/$AL14,AA14/$AL14)))),0)</f>
        <v>4.1427102280421166E-2</v>
      </c>
      <c r="AQ14" s="73">
        <f>IFERROR(IF(E14="Direct",S14/$AL14,IF(E14="Building",Villas!$I10*AB14/$AL14,IF(E14="Plot",Villas!$J10*AB14/$AL14,IF(E14="Revenue",Villas!$K10*AB14/$AL14,AB14/$AL14)))),0)</f>
        <v>4.9063274276366114E-2</v>
      </c>
      <c r="AR14" s="73">
        <f>IFERROR(IF(E14="Direct",T14/$AL14,IF(E14="Building",Villas!$I11*AC14/$AL14,IF(E14="Plot",Villas!$J11*AC14/$AL14,IF(E14="Revenue",Villas!$K11*AC14/$AL14,AC14/$AL14)))),0)</f>
        <v>0.11829387459330477</v>
      </c>
      <c r="AS14" s="73">
        <f>IFERROR(IF(E14="Direct",U14/$AL14,IF(E14="Building",Villas!$I12*AD14/$AL14,IF(E14="Plot",Villas!$J12*AD14/$AL14,IF(E14="Revenue",Villas!$K12*AD14/$AL14,AD14/$AL14)))),0)</f>
        <v>0.16380348339731884</v>
      </c>
      <c r="AT14" s="73">
        <f>IFERROR(IF(E14="Direct",V14/$AL14,IF(E14="Building",Villas!$I13*AE14/$AL14,IF(E14="Plot",Villas!$J13*AE14/$AL14,IF(E14="Revenue",Villas!$K13*AE14/$AL14,AE14/$AL14)))),0)</f>
        <v>0.21607914682750265</v>
      </c>
      <c r="AU14" s="73">
        <f>IFERROR(IF(E14="Direct",W14/$AL14,IF(E14="Building",Villas!$I14*AF14/$AL14,IF(E14="Plot",Villas!$J14*AF14/$AL14,IF(E14="Revenue",Villas!$K14*AF14/$AL14,AF14/$AL14)))),0)</f>
        <v>5.8108469142399151E-2</v>
      </c>
      <c r="AV14" s="73">
        <f>SUM(Development_Budget[[#This Row],[Horizon Ridge Top Weight]:[Kiri 3 Weight]])</f>
        <v>1</v>
      </c>
    </row>
    <row r="15" spans="1:48">
      <c r="A15" s="6" t="s">
        <v>304</v>
      </c>
      <c r="B15" s="6" t="s">
        <v>118</v>
      </c>
      <c r="C15" s="6" t="s">
        <v>305</v>
      </c>
      <c r="D15" s="21" t="s">
        <v>209</v>
      </c>
      <c r="E15" s="21" t="s">
        <v>302</v>
      </c>
      <c r="F15" s="34">
        <v>180754.618456</v>
      </c>
      <c r="G15" s="35">
        <f t="shared" si="6"/>
        <v>180754.618456</v>
      </c>
      <c r="H15" s="35">
        <f>SUMIFS(Outflows!$L$7:$L$163,Outflows!$H$7:$H$163,C15,Outflows!$B$7:$B$163,"&lt;="&amp;Inputs!$B$11)</f>
        <v>49447.282631578957</v>
      </c>
      <c r="I15" s="35">
        <f t="shared" si="1"/>
        <v>131307.33582442102</v>
      </c>
      <c r="J15" s="35">
        <f t="shared" si="2"/>
        <v>180754.618456</v>
      </c>
      <c r="K15" s="64">
        <v>45292</v>
      </c>
      <c r="L15" s="64">
        <v>45627</v>
      </c>
      <c r="M15" s="58">
        <f>MAX(0,(YEAR(L15)-YEAR(MAX(K15,Inputs!$B$12)))*12+MONTH(L15)-MONTH(MAX(K15,Inputs!$B$12))+1)</f>
        <v>12</v>
      </c>
      <c r="N15" s="50" t="s">
        <v>306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67">
        <v>1</v>
      </c>
      <c r="Y15" s="67">
        <v>1</v>
      </c>
      <c r="Z15" s="67">
        <v>1</v>
      </c>
      <c r="AA15" s="67">
        <v>1</v>
      </c>
      <c r="AB15" s="67">
        <v>1</v>
      </c>
      <c r="AC15" s="67">
        <v>1</v>
      </c>
      <c r="AD15" s="67">
        <v>1</v>
      </c>
      <c r="AE15" s="67">
        <v>1</v>
      </c>
      <c r="AF15" s="67">
        <v>1</v>
      </c>
      <c r="AG15" s="70">
        <f t="shared" si="3"/>
        <v>0</v>
      </c>
      <c r="AH15" s="70">
        <f>Villas!$I$6*X15+Villas!$I$7*Y15+Villas!$I$8*Z15+Villas!$I$9*AA15+Villas!$I$10*AB15+Villas!$I$11*AC15+Villas!$I$12*AD15+Villas!$I$13*AE15+Villas!$I$14*AF15</f>
        <v>10929.56</v>
      </c>
      <c r="AI15" s="70">
        <f>Villas!$J$6*X15+Villas!$J$7*Y15+Villas!$J$8*Z15+Villas!$J$9*AA15+Villas!$J$10*AB15+Villas!$J$11*AC15+Villas!$J$12*AD15+Villas!$J$13*AE15+Villas!$J$14*AF15</f>
        <v>41035</v>
      </c>
      <c r="AJ15" s="70">
        <f>Villas!$K$6*X15+Villas!$K$7*Y15+Villas!$K$8*Z15+Villas!$K$9*AA15+Villas!$K$10*AB15+Villas!$K$11*AC15+Villas!$K$12*AD15+Villas!$K$13*AE15+Villas!$K$14*AF15</f>
        <v>11217713.053679582</v>
      </c>
      <c r="AK15" s="70">
        <f t="shared" si="4"/>
        <v>9</v>
      </c>
      <c r="AL15" s="70">
        <f t="shared" si="5"/>
        <v>10929.56</v>
      </c>
      <c r="AM15" s="73">
        <f>IFERROR(IF(E15="Direct",O15/$AL15,IF(E15="Building",Villas!$I6*X15/$AL15,IF(E15="Plot",Villas!$J6*X15/$AL15,IF(E15="Revenue",Villas!$K6*X15/$AL15,X15/$AL15)))),0)</f>
        <v>0.15392202430838939</v>
      </c>
      <c r="AN15" s="73">
        <f>IFERROR(IF(E15="Direct",P15/$AL15,IF(E15="Building",Villas!$I7*Y15/$AL15,IF(E15="Plot",Villas!$J7*Y15/$AL15,IF(E15="Revenue",Villas!$K7*Y15/$AL15,Y15/$AL15)))),0)</f>
        <v>8.7313670449679581E-2</v>
      </c>
      <c r="AO15" s="73">
        <f>IFERROR(IF(E15="Direct",Q15/$AL15,IF(E15="Building",Villas!$I8*Z15/$AL15,IF(E15="Plot",Villas!$J8*Z15/$AL15,IF(E15="Revenue",Villas!$K8*Z15/$AL15,Z15/$AL15)))),0)</f>
        <v>0.11198895472461838</v>
      </c>
      <c r="AP15" s="73">
        <f>IFERROR(IF(E15="Direct",R15/$AL15,IF(E15="Building",Villas!$I9*AA15/$AL15,IF(E15="Plot",Villas!$J9*AA15/$AL15,IF(E15="Revenue",Villas!$K9*AA15/$AL15,AA15/$AL15)))),0)</f>
        <v>4.1427102280421166E-2</v>
      </c>
      <c r="AQ15" s="73">
        <f>IFERROR(IF(E15="Direct",S15/$AL15,IF(E15="Building",Villas!$I10*AB15/$AL15,IF(E15="Plot",Villas!$J10*AB15/$AL15,IF(E15="Revenue",Villas!$K10*AB15/$AL15,AB15/$AL15)))),0)</f>
        <v>4.9063274276366114E-2</v>
      </c>
      <c r="AR15" s="73">
        <f>IFERROR(IF(E15="Direct",T15/$AL15,IF(E15="Building",Villas!$I11*AC15/$AL15,IF(E15="Plot",Villas!$J11*AC15/$AL15,IF(E15="Revenue",Villas!$K11*AC15/$AL15,AC15/$AL15)))),0)</f>
        <v>0.11829387459330477</v>
      </c>
      <c r="AS15" s="73">
        <f>IFERROR(IF(E15="Direct",U15/$AL15,IF(E15="Building",Villas!$I12*AD15/$AL15,IF(E15="Plot",Villas!$J12*AD15/$AL15,IF(E15="Revenue",Villas!$K12*AD15/$AL15,AD15/$AL15)))),0)</f>
        <v>0.16380348339731884</v>
      </c>
      <c r="AT15" s="73">
        <f>IFERROR(IF(E15="Direct",V15/$AL15,IF(E15="Building",Villas!$I13*AE15/$AL15,IF(E15="Plot",Villas!$J13*AE15/$AL15,IF(E15="Revenue",Villas!$K13*AE15/$AL15,AE15/$AL15)))),0)</f>
        <v>0.21607914682750265</v>
      </c>
      <c r="AU15" s="73">
        <f>IFERROR(IF(E15="Direct",W15/$AL15,IF(E15="Building",Villas!$I14*AF15/$AL15,IF(E15="Plot",Villas!$J14*AF15/$AL15,IF(E15="Revenue",Villas!$K14*AF15/$AL15,AF15/$AL15)))),0)</f>
        <v>5.8108469142399151E-2</v>
      </c>
      <c r="AV15" s="73">
        <f>SUM(Development_Budget[[#This Row],[Horizon Ridge Top Weight]:[Kiri 3 Weight]])</f>
        <v>1</v>
      </c>
    </row>
    <row r="16" spans="1:48">
      <c r="A16" s="6" t="s">
        <v>307</v>
      </c>
      <c r="B16" s="6" t="s">
        <v>118</v>
      </c>
      <c r="C16" s="6" t="s">
        <v>308</v>
      </c>
      <c r="D16" s="21" t="s">
        <v>209</v>
      </c>
      <c r="E16" s="21" t="s">
        <v>302</v>
      </c>
      <c r="F16" s="34">
        <v>30412.440332999999</v>
      </c>
      <c r="G16" s="35">
        <f t="shared" si="6"/>
        <v>30412.440332999999</v>
      </c>
      <c r="H16" s="35">
        <f>SUMIFS(Outflows!$L$7:$L$163,Outflows!$H$7:$H$163,C16,Outflows!$B$7:$B$163,"&lt;="&amp;Inputs!$B$11)</f>
        <v>0</v>
      </c>
      <c r="I16" s="35">
        <f t="shared" si="1"/>
        <v>30412.440332999999</v>
      </c>
      <c r="J16" s="35">
        <f t="shared" si="2"/>
        <v>30412.440332999999</v>
      </c>
      <c r="K16" s="64">
        <v>45292</v>
      </c>
      <c r="L16" s="64">
        <v>45627</v>
      </c>
      <c r="M16" s="58">
        <f>MAX(0,(YEAR(L16)-YEAR(MAX(K16,Inputs!$B$12)))*12+MONTH(L16)-MONTH(MAX(K16,Inputs!$B$12))+1)</f>
        <v>12</v>
      </c>
      <c r="N16" s="50" t="s">
        <v>303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67">
        <v>1</v>
      </c>
      <c r="Y16" s="67">
        <v>1</v>
      </c>
      <c r="Z16" s="67">
        <v>1</v>
      </c>
      <c r="AA16" s="67">
        <v>1</v>
      </c>
      <c r="AB16" s="67">
        <v>1</v>
      </c>
      <c r="AC16" s="67">
        <v>1</v>
      </c>
      <c r="AD16" s="67">
        <v>1</v>
      </c>
      <c r="AE16" s="67">
        <v>1</v>
      </c>
      <c r="AF16" s="67">
        <v>1</v>
      </c>
      <c r="AG16" s="70">
        <f t="shared" si="3"/>
        <v>0</v>
      </c>
      <c r="AH16" s="70">
        <f>Villas!$I$6*X16+Villas!$I$7*Y16+Villas!$I$8*Z16+Villas!$I$9*AA16+Villas!$I$10*AB16+Villas!$I$11*AC16+Villas!$I$12*AD16+Villas!$I$13*AE16+Villas!$I$14*AF16</f>
        <v>10929.56</v>
      </c>
      <c r="AI16" s="70">
        <f>Villas!$J$6*X16+Villas!$J$7*Y16+Villas!$J$8*Z16+Villas!$J$9*AA16+Villas!$J$10*AB16+Villas!$J$11*AC16+Villas!$J$12*AD16+Villas!$J$13*AE16+Villas!$J$14*AF16</f>
        <v>41035</v>
      </c>
      <c r="AJ16" s="70">
        <f>Villas!$K$6*X16+Villas!$K$7*Y16+Villas!$K$8*Z16+Villas!$K$9*AA16+Villas!$K$10*AB16+Villas!$K$11*AC16+Villas!$K$12*AD16+Villas!$K$13*AE16+Villas!$K$14*AF16</f>
        <v>11217713.053679582</v>
      </c>
      <c r="AK16" s="70">
        <f t="shared" si="4"/>
        <v>9</v>
      </c>
      <c r="AL16" s="70">
        <f t="shared" si="5"/>
        <v>10929.56</v>
      </c>
      <c r="AM16" s="73">
        <f>IFERROR(IF(E16="Direct",O16/$AL16,IF(E16="Building",Villas!$I6*X16/$AL16,IF(E16="Plot",Villas!$J6*X16/$AL16,IF(E16="Revenue",Villas!$K6*X16/$AL16,X16/$AL16)))),0)</f>
        <v>0.15392202430838939</v>
      </c>
      <c r="AN16" s="73">
        <f>IFERROR(IF(E16="Direct",P16/$AL16,IF(E16="Building",Villas!$I7*Y16/$AL16,IF(E16="Plot",Villas!$J7*Y16/$AL16,IF(E16="Revenue",Villas!$K7*Y16/$AL16,Y16/$AL16)))),0)</f>
        <v>8.7313670449679581E-2</v>
      </c>
      <c r="AO16" s="73">
        <f>IFERROR(IF(E16="Direct",Q16/$AL16,IF(E16="Building",Villas!$I8*Z16/$AL16,IF(E16="Plot",Villas!$J8*Z16/$AL16,IF(E16="Revenue",Villas!$K8*Z16/$AL16,Z16/$AL16)))),0)</f>
        <v>0.11198895472461838</v>
      </c>
      <c r="AP16" s="73">
        <f>IFERROR(IF(E16="Direct",R16/$AL16,IF(E16="Building",Villas!$I9*AA16/$AL16,IF(E16="Plot",Villas!$J9*AA16/$AL16,IF(E16="Revenue",Villas!$K9*AA16/$AL16,AA16/$AL16)))),0)</f>
        <v>4.1427102280421166E-2</v>
      </c>
      <c r="AQ16" s="73">
        <f>IFERROR(IF(E16="Direct",S16/$AL16,IF(E16="Building",Villas!$I10*AB16/$AL16,IF(E16="Plot",Villas!$J10*AB16/$AL16,IF(E16="Revenue",Villas!$K10*AB16/$AL16,AB16/$AL16)))),0)</f>
        <v>4.9063274276366114E-2</v>
      </c>
      <c r="AR16" s="73">
        <f>IFERROR(IF(E16="Direct",T16/$AL16,IF(E16="Building",Villas!$I11*AC16/$AL16,IF(E16="Plot",Villas!$J11*AC16/$AL16,IF(E16="Revenue",Villas!$K11*AC16/$AL16,AC16/$AL16)))),0)</f>
        <v>0.11829387459330477</v>
      </c>
      <c r="AS16" s="73">
        <f>IFERROR(IF(E16="Direct",U16/$AL16,IF(E16="Building",Villas!$I12*AD16/$AL16,IF(E16="Plot",Villas!$J12*AD16/$AL16,IF(E16="Revenue",Villas!$K12*AD16/$AL16,AD16/$AL16)))),0)</f>
        <v>0.16380348339731884</v>
      </c>
      <c r="AT16" s="73">
        <f>IFERROR(IF(E16="Direct",V16/$AL16,IF(E16="Building",Villas!$I13*AE16/$AL16,IF(E16="Plot",Villas!$J13*AE16/$AL16,IF(E16="Revenue",Villas!$K13*AE16/$AL16,AE16/$AL16)))),0)</f>
        <v>0.21607914682750265</v>
      </c>
      <c r="AU16" s="73">
        <f>IFERROR(IF(E16="Direct",W16/$AL16,IF(E16="Building",Villas!$I14*AF16/$AL16,IF(E16="Plot",Villas!$J14*AF16/$AL16,IF(E16="Revenue",Villas!$K14*AF16/$AL16,AF16/$AL16)))),0)</f>
        <v>5.8108469142399151E-2</v>
      </c>
      <c r="AV16" s="73">
        <f>SUM(Development_Budget[[#This Row],[Horizon Ridge Top Weight]:[Kiri 3 Weight]])</f>
        <v>1</v>
      </c>
    </row>
    <row r="17" spans="1:48">
      <c r="A17" s="6" t="s">
        <v>309</v>
      </c>
      <c r="B17" s="6" t="s">
        <v>118</v>
      </c>
      <c r="C17" s="6" t="s">
        <v>310</v>
      </c>
      <c r="D17" s="21" t="s">
        <v>209</v>
      </c>
      <c r="E17" s="21" t="s">
        <v>302</v>
      </c>
      <c r="F17" s="34">
        <v>33733.333333000002</v>
      </c>
      <c r="G17" s="35">
        <f t="shared" si="6"/>
        <v>33733.333333000002</v>
      </c>
      <c r="H17" s="35">
        <f>SUMIFS(Outflows!$L$7:$L$163,Outflows!$H$7:$H$163,C17,Outflows!$B$7:$B$163,"&lt;="&amp;Inputs!$B$11)</f>
        <v>14999.265863561259</v>
      </c>
      <c r="I17" s="35">
        <f t="shared" si="1"/>
        <v>18734.067469438742</v>
      </c>
      <c r="J17" s="35">
        <f t="shared" si="2"/>
        <v>33733.333333000002</v>
      </c>
      <c r="K17" s="64">
        <v>45292</v>
      </c>
      <c r="L17" s="64">
        <v>45627</v>
      </c>
      <c r="M17" s="58">
        <f>MAX(0,(YEAR(L17)-YEAR(MAX(K17,Inputs!$B$12)))*12+MONTH(L17)-MONTH(MAX(K17,Inputs!$B$12))+1)</f>
        <v>12</v>
      </c>
      <c r="N17" s="50" t="s">
        <v>303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67">
        <v>1</v>
      </c>
      <c r="Y17" s="67">
        <v>1</v>
      </c>
      <c r="Z17" s="67">
        <v>1</v>
      </c>
      <c r="AA17" s="67">
        <v>1</v>
      </c>
      <c r="AB17" s="67">
        <v>1</v>
      </c>
      <c r="AC17" s="67">
        <v>1</v>
      </c>
      <c r="AD17" s="67">
        <v>1</v>
      </c>
      <c r="AE17" s="67">
        <v>1</v>
      </c>
      <c r="AF17" s="67">
        <v>1</v>
      </c>
      <c r="AG17" s="70">
        <f t="shared" si="3"/>
        <v>0</v>
      </c>
      <c r="AH17" s="70">
        <f>Villas!$I$6*X17+Villas!$I$7*Y17+Villas!$I$8*Z17+Villas!$I$9*AA17+Villas!$I$10*AB17+Villas!$I$11*AC17+Villas!$I$12*AD17+Villas!$I$13*AE17+Villas!$I$14*AF17</f>
        <v>10929.56</v>
      </c>
      <c r="AI17" s="70">
        <f>Villas!$J$6*X17+Villas!$J$7*Y17+Villas!$J$8*Z17+Villas!$J$9*AA17+Villas!$J$10*AB17+Villas!$J$11*AC17+Villas!$J$12*AD17+Villas!$J$13*AE17+Villas!$J$14*AF17</f>
        <v>41035</v>
      </c>
      <c r="AJ17" s="70">
        <f>Villas!$K$6*X17+Villas!$K$7*Y17+Villas!$K$8*Z17+Villas!$K$9*AA17+Villas!$K$10*AB17+Villas!$K$11*AC17+Villas!$K$12*AD17+Villas!$K$13*AE17+Villas!$K$14*AF17</f>
        <v>11217713.053679582</v>
      </c>
      <c r="AK17" s="70">
        <f t="shared" si="4"/>
        <v>9</v>
      </c>
      <c r="AL17" s="70">
        <f t="shared" si="5"/>
        <v>10929.56</v>
      </c>
      <c r="AM17" s="73">
        <f>IFERROR(IF(E17="Direct",O17/$AL17,IF(E17="Building",Villas!$I6*X17/$AL17,IF(E17="Plot",Villas!$J6*X17/$AL17,IF(E17="Revenue",Villas!$K6*X17/$AL17,X17/$AL17)))),0)</f>
        <v>0.15392202430838939</v>
      </c>
      <c r="AN17" s="73">
        <f>IFERROR(IF(E17="Direct",P17/$AL17,IF(E17="Building",Villas!$I7*Y17/$AL17,IF(E17="Plot",Villas!$J7*Y17/$AL17,IF(E17="Revenue",Villas!$K7*Y17/$AL17,Y17/$AL17)))),0)</f>
        <v>8.7313670449679581E-2</v>
      </c>
      <c r="AO17" s="73">
        <f>IFERROR(IF(E17="Direct",Q17/$AL17,IF(E17="Building",Villas!$I8*Z17/$AL17,IF(E17="Plot",Villas!$J8*Z17/$AL17,IF(E17="Revenue",Villas!$K8*Z17/$AL17,Z17/$AL17)))),0)</f>
        <v>0.11198895472461838</v>
      </c>
      <c r="AP17" s="73">
        <f>IFERROR(IF(E17="Direct",R17/$AL17,IF(E17="Building",Villas!$I9*AA17/$AL17,IF(E17="Plot",Villas!$J9*AA17/$AL17,IF(E17="Revenue",Villas!$K9*AA17/$AL17,AA17/$AL17)))),0)</f>
        <v>4.1427102280421166E-2</v>
      </c>
      <c r="AQ17" s="73">
        <f>IFERROR(IF(E17="Direct",S17/$AL17,IF(E17="Building",Villas!$I10*AB17/$AL17,IF(E17="Plot",Villas!$J10*AB17/$AL17,IF(E17="Revenue",Villas!$K10*AB17/$AL17,AB17/$AL17)))),0)</f>
        <v>4.9063274276366114E-2</v>
      </c>
      <c r="AR17" s="73">
        <f>IFERROR(IF(E17="Direct",T17/$AL17,IF(E17="Building",Villas!$I11*AC17/$AL17,IF(E17="Plot",Villas!$J11*AC17/$AL17,IF(E17="Revenue",Villas!$K11*AC17/$AL17,AC17/$AL17)))),0)</f>
        <v>0.11829387459330477</v>
      </c>
      <c r="AS17" s="73">
        <f>IFERROR(IF(E17="Direct",U17/$AL17,IF(E17="Building",Villas!$I12*AD17/$AL17,IF(E17="Plot",Villas!$J12*AD17/$AL17,IF(E17="Revenue",Villas!$K12*AD17/$AL17,AD17/$AL17)))),0)</f>
        <v>0.16380348339731884</v>
      </c>
      <c r="AT17" s="73">
        <f>IFERROR(IF(E17="Direct",V17/$AL17,IF(E17="Building",Villas!$I13*AE17/$AL17,IF(E17="Plot",Villas!$J13*AE17/$AL17,IF(E17="Revenue",Villas!$K13*AE17/$AL17,AE17/$AL17)))),0)</f>
        <v>0.21607914682750265</v>
      </c>
      <c r="AU17" s="73">
        <f>IFERROR(IF(E17="Direct",W17/$AL17,IF(E17="Building",Villas!$I14*AF17/$AL17,IF(E17="Plot",Villas!$J14*AF17/$AL17,IF(E17="Revenue",Villas!$K14*AF17/$AL17,AF17/$AL17)))),0)</f>
        <v>5.8108469142399151E-2</v>
      </c>
      <c r="AV17" s="73">
        <f>SUM(Development_Budget[[#This Row],[Horizon Ridge Top Weight]:[Kiri 3 Weight]])</f>
        <v>1</v>
      </c>
    </row>
    <row r="18" spans="1:48">
      <c r="A18" s="6" t="s">
        <v>311</v>
      </c>
      <c r="B18" s="6" t="s">
        <v>118</v>
      </c>
      <c r="C18" s="6" t="s">
        <v>312</v>
      </c>
      <c r="D18" s="21" t="s">
        <v>209</v>
      </c>
      <c r="E18" s="21" t="s">
        <v>302</v>
      </c>
      <c r="F18" s="34">
        <v>11322</v>
      </c>
      <c r="G18" s="35">
        <f t="shared" si="6"/>
        <v>11322</v>
      </c>
      <c r="H18" s="35">
        <f>SUMIFS(Outflows!$L$7:$L$163,Outflows!$H$7:$H$163,C18,Outflows!$B$7:$B$163,"&lt;="&amp;Inputs!$B$11)</f>
        <v>7826.58</v>
      </c>
      <c r="I18" s="35">
        <f t="shared" si="1"/>
        <v>3495.42</v>
      </c>
      <c r="J18" s="35">
        <f t="shared" si="2"/>
        <v>11322</v>
      </c>
      <c r="K18" s="64">
        <v>45292</v>
      </c>
      <c r="L18" s="64">
        <v>45627</v>
      </c>
      <c r="M18" s="58">
        <f>MAX(0,(YEAR(L18)-YEAR(MAX(K18,Inputs!$B$12)))*12+MONTH(L18)-MONTH(MAX(K18,Inputs!$B$12))+1)</f>
        <v>12</v>
      </c>
      <c r="N18" s="50" t="s">
        <v>303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67">
        <v>1</v>
      </c>
      <c r="Y18" s="67">
        <v>1</v>
      </c>
      <c r="Z18" s="67">
        <v>1</v>
      </c>
      <c r="AA18" s="67">
        <v>1</v>
      </c>
      <c r="AB18" s="67">
        <v>1</v>
      </c>
      <c r="AC18" s="67">
        <v>1</v>
      </c>
      <c r="AD18" s="67">
        <v>1</v>
      </c>
      <c r="AE18" s="67">
        <v>1</v>
      </c>
      <c r="AF18" s="67">
        <v>1</v>
      </c>
      <c r="AG18" s="70">
        <f t="shared" si="3"/>
        <v>0</v>
      </c>
      <c r="AH18" s="70">
        <f>Villas!$I$6*X18+Villas!$I$7*Y18+Villas!$I$8*Z18+Villas!$I$9*AA18+Villas!$I$10*AB18+Villas!$I$11*AC18+Villas!$I$12*AD18+Villas!$I$13*AE18+Villas!$I$14*AF18</f>
        <v>10929.56</v>
      </c>
      <c r="AI18" s="70">
        <f>Villas!$J$6*X18+Villas!$J$7*Y18+Villas!$J$8*Z18+Villas!$J$9*AA18+Villas!$J$10*AB18+Villas!$J$11*AC18+Villas!$J$12*AD18+Villas!$J$13*AE18+Villas!$J$14*AF18</f>
        <v>41035</v>
      </c>
      <c r="AJ18" s="70">
        <f>Villas!$K$6*X18+Villas!$K$7*Y18+Villas!$K$8*Z18+Villas!$K$9*AA18+Villas!$K$10*AB18+Villas!$K$11*AC18+Villas!$K$12*AD18+Villas!$K$13*AE18+Villas!$K$14*AF18</f>
        <v>11217713.053679582</v>
      </c>
      <c r="AK18" s="70">
        <f t="shared" si="4"/>
        <v>9</v>
      </c>
      <c r="AL18" s="70">
        <f t="shared" si="5"/>
        <v>10929.56</v>
      </c>
      <c r="AM18" s="73">
        <f>IFERROR(IF(E18="Direct",O18/$AL18,IF(E18="Building",Villas!$I6*X18/$AL18,IF(E18="Plot",Villas!$J6*X18/$AL18,IF(E18="Revenue",Villas!$K6*X18/$AL18,X18/$AL18)))),0)</f>
        <v>0.15392202430838939</v>
      </c>
      <c r="AN18" s="73">
        <f>IFERROR(IF(E18="Direct",P18/$AL18,IF(E18="Building",Villas!$I7*Y18/$AL18,IF(E18="Plot",Villas!$J7*Y18/$AL18,IF(E18="Revenue",Villas!$K7*Y18/$AL18,Y18/$AL18)))),0)</f>
        <v>8.7313670449679581E-2</v>
      </c>
      <c r="AO18" s="73">
        <f>IFERROR(IF(E18="Direct",Q18/$AL18,IF(E18="Building",Villas!$I8*Z18/$AL18,IF(E18="Plot",Villas!$J8*Z18/$AL18,IF(E18="Revenue",Villas!$K8*Z18/$AL18,Z18/$AL18)))),0)</f>
        <v>0.11198895472461838</v>
      </c>
      <c r="AP18" s="73">
        <f>IFERROR(IF(E18="Direct",R18/$AL18,IF(E18="Building",Villas!$I9*AA18/$AL18,IF(E18="Plot",Villas!$J9*AA18/$AL18,IF(E18="Revenue",Villas!$K9*AA18/$AL18,AA18/$AL18)))),0)</f>
        <v>4.1427102280421166E-2</v>
      </c>
      <c r="AQ18" s="73">
        <f>IFERROR(IF(E18="Direct",S18/$AL18,IF(E18="Building",Villas!$I10*AB18/$AL18,IF(E18="Plot",Villas!$J10*AB18/$AL18,IF(E18="Revenue",Villas!$K10*AB18/$AL18,AB18/$AL18)))),0)</f>
        <v>4.9063274276366114E-2</v>
      </c>
      <c r="AR18" s="73">
        <f>IFERROR(IF(E18="Direct",T18/$AL18,IF(E18="Building",Villas!$I11*AC18/$AL18,IF(E18="Plot",Villas!$J11*AC18/$AL18,IF(E18="Revenue",Villas!$K11*AC18/$AL18,AC18/$AL18)))),0)</f>
        <v>0.11829387459330477</v>
      </c>
      <c r="AS18" s="73">
        <f>IFERROR(IF(E18="Direct",U18/$AL18,IF(E18="Building",Villas!$I12*AD18/$AL18,IF(E18="Plot",Villas!$J12*AD18/$AL18,IF(E18="Revenue",Villas!$K12*AD18/$AL18,AD18/$AL18)))),0)</f>
        <v>0.16380348339731884</v>
      </c>
      <c r="AT18" s="73">
        <f>IFERROR(IF(E18="Direct",V18/$AL18,IF(E18="Building",Villas!$I13*AE18/$AL18,IF(E18="Plot",Villas!$J13*AE18/$AL18,IF(E18="Revenue",Villas!$K13*AE18/$AL18,AE18/$AL18)))),0)</f>
        <v>0.21607914682750265</v>
      </c>
      <c r="AU18" s="73">
        <f>IFERROR(IF(E18="Direct",W18/$AL18,IF(E18="Building",Villas!$I14*AF18/$AL18,IF(E18="Plot",Villas!$J14*AF18/$AL18,IF(E18="Revenue",Villas!$K14*AF18/$AL18,AF18/$AL18)))),0)</f>
        <v>5.8108469142399151E-2</v>
      </c>
      <c r="AV18" s="73">
        <f>SUM(Development_Budget[[#This Row],[Horizon Ridge Top Weight]:[Kiri 3 Weight]])</f>
        <v>1</v>
      </c>
    </row>
    <row r="19" spans="1:48">
      <c r="A19" s="6" t="s">
        <v>313</v>
      </c>
      <c r="B19" s="6" t="s">
        <v>118</v>
      </c>
      <c r="C19" s="6" t="s">
        <v>314</v>
      </c>
      <c r="D19" s="21" t="s">
        <v>209</v>
      </c>
      <c r="E19" s="21" t="s">
        <v>302</v>
      </c>
      <c r="F19" s="34">
        <v>97063.357999999993</v>
      </c>
      <c r="G19" s="35">
        <f t="shared" si="6"/>
        <v>97063.357999999993</v>
      </c>
      <c r="H19" s="35">
        <f>SUMIFS(Outflows!$L$7:$L$163,Outflows!$H$7:$H$163,C19,Outflows!$B$7:$B$163,"&lt;="&amp;Inputs!$B$11)</f>
        <v>14851.697666666663</v>
      </c>
      <c r="I19" s="35">
        <f t="shared" si="1"/>
        <v>82211.660333333333</v>
      </c>
      <c r="J19" s="35">
        <f t="shared" si="2"/>
        <v>97063.357999999993</v>
      </c>
      <c r="K19" s="64">
        <v>45292</v>
      </c>
      <c r="L19" s="64">
        <v>45839</v>
      </c>
      <c r="M19" s="58">
        <f>MAX(0,(YEAR(L19)-YEAR(MAX(K19,Inputs!$B$12)))*12+MONTH(L19)-MONTH(MAX(K19,Inputs!$B$12))+1)</f>
        <v>19</v>
      </c>
      <c r="N19" s="50" t="s">
        <v>303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67">
        <v>1</v>
      </c>
      <c r="Y19" s="67">
        <v>1</v>
      </c>
      <c r="Z19" s="67">
        <v>1</v>
      </c>
      <c r="AA19" s="67">
        <v>1</v>
      </c>
      <c r="AB19" s="67">
        <v>1</v>
      </c>
      <c r="AC19" s="67">
        <v>1</v>
      </c>
      <c r="AD19" s="67">
        <v>1</v>
      </c>
      <c r="AE19" s="67">
        <v>1</v>
      </c>
      <c r="AF19" s="67">
        <v>1</v>
      </c>
      <c r="AG19" s="70">
        <f t="shared" si="3"/>
        <v>0</v>
      </c>
      <c r="AH19" s="70">
        <f>Villas!$I$6*X19+Villas!$I$7*Y19+Villas!$I$8*Z19+Villas!$I$9*AA19+Villas!$I$10*AB19+Villas!$I$11*AC19+Villas!$I$12*AD19+Villas!$I$13*AE19+Villas!$I$14*AF19</f>
        <v>10929.56</v>
      </c>
      <c r="AI19" s="70">
        <f>Villas!$J$6*X19+Villas!$J$7*Y19+Villas!$J$8*Z19+Villas!$J$9*AA19+Villas!$J$10*AB19+Villas!$J$11*AC19+Villas!$J$12*AD19+Villas!$J$13*AE19+Villas!$J$14*AF19</f>
        <v>41035</v>
      </c>
      <c r="AJ19" s="70">
        <f>Villas!$K$6*X19+Villas!$K$7*Y19+Villas!$K$8*Z19+Villas!$K$9*AA19+Villas!$K$10*AB19+Villas!$K$11*AC19+Villas!$K$12*AD19+Villas!$K$13*AE19+Villas!$K$14*AF19</f>
        <v>11217713.053679582</v>
      </c>
      <c r="AK19" s="70">
        <f t="shared" si="4"/>
        <v>9</v>
      </c>
      <c r="AL19" s="70">
        <f t="shared" si="5"/>
        <v>10929.56</v>
      </c>
      <c r="AM19" s="73">
        <f>IFERROR(IF(E19="Direct",O19/$AL19,IF(E19="Building",Villas!$I6*X19/$AL19,IF(E19="Plot",Villas!$J6*X19/$AL19,IF(E19="Revenue",Villas!$K6*X19/$AL19,X19/$AL19)))),0)</f>
        <v>0.15392202430838939</v>
      </c>
      <c r="AN19" s="73">
        <f>IFERROR(IF(E19="Direct",P19/$AL19,IF(E19="Building",Villas!$I7*Y19/$AL19,IF(E19="Plot",Villas!$J7*Y19/$AL19,IF(E19="Revenue",Villas!$K7*Y19/$AL19,Y19/$AL19)))),0)</f>
        <v>8.7313670449679581E-2</v>
      </c>
      <c r="AO19" s="73">
        <f>IFERROR(IF(E19="Direct",Q19/$AL19,IF(E19="Building",Villas!$I8*Z19/$AL19,IF(E19="Plot",Villas!$J8*Z19/$AL19,IF(E19="Revenue",Villas!$K8*Z19/$AL19,Z19/$AL19)))),0)</f>
        <v>0.11198895472461838</v>
      </c>
      <c r="AP19" s="73">
        <f>IFERROR(IF(E19="Direct",R19/$AL19,IF(E19="Building",Villas!$I9*AA19/$AL19,IF(E19="Plot",Villas!$J9*AA19/$AL19,IF(E19="Revenue",Villas!$K9*AA19/$AL19,AA19/$AL19)))),0)</f>
        <v>4.1427102280421166E-2</v>
      </c>
      <c r="AQ19" s="73">
        <f>IFERROR(IF(E19="Direct",S19/$AL19,IF(E19="Building",Villas!$I10*AB19/$AL19,IF(E19="Plot",Villas!$J10*AB19/$AL19,IF(E19="Revenue",Villas!$K10*AB19/$AL19,AB19/$AL19)))),0)</f>
        <v>4.9063274276366114E-2</v>
      </c>
      <c r="AR19" s="73">
        <f>IFERROR(IF(E19="Direct",T19/$AL19,IF(E19="Building",Villas!$I11*AC19/$AL19,IF(E19="Plot",Villas!$J11*AC19/$AL19,IF(E19="Revenue",Villas!$K11*AC19/$AL19,AC19/$AL19)))),0)</f>
        <v>0.11829387459330477</v>
      </c>
      <c r="AS19" s="73">
        <f>IFERROR(IF(E19="Direct",U19/$AL19,IF(E19="Building",Villas!$I12*AD19/$AL19,IF(E19="Plot",Villas!$J12*AD19/$AL19,IF(E19="Revenue",Villas!$K12*AD19/$AL19,AD19/$AL19)))),0)</f>
        <v>0.16380348339731884</v>
      </c>
      <c r="AT19" s="73">
        <f>IFERROR(IF(E19="Direct",V19/$AL19,IF(E19="Building",Villas!$I13*AE19/$AL19,IF(E19="Plot",Villas!$J13*AE19/$AL19,IF(E19="Revenue",Villas!$K13*AE19/$AL19,AE19/$AL19)))),0)</f>
        <v>0.21607914682750265</v>
      </c>
      <c r="AU19" s="73">
        <f>IFERROR(IF(E19="Direct",W19/$AL19,IF(E19="Building",Villas!$I14*AF19/$AL19,IF(E19="Plot",Villas!$J14*AF19/$AL19,IF(E19="Revenue",Villas!$K14*AF19/$AL19,AF19/$AL19)))),0)</f>
        <v>5.8108469142399151E-2</v>
      </c>
      <c r="AV19" s="73">
        <f>SUM(Development_Budget[[#This Row],[Horizon Ridge Top Weight]:[Kiri 3 Weight]])</f>
        <v>1</v>
      </c>
    </row>
    <row r="20" spans="1:48">
      <c r="A20" s="6" t="s">
        <v>315</v>
      </c>
      <c r="B20" s="6" t="s">
        <v>118</v>
      </c>
      <c r="C20" s="6" t="s">
        <v>316</v>
      </c>
      <c r="D20" s="21" t="s">
        <v>209</v>
      </c>
      <c r="E20" s="21" t="s">
        <v>317</v>
      </c>
      <c r="F20" s="34">
        <v>124792.416667</v>
      </c>
      <c r="G20" s="35">
        <f t="shared" si="6"/>
        <v>124792.416667</v>
      </c>
      <c r="H20" s="35">
        <f>SUMIFS(Outflows!$L$7:$L$163,Outflows!$H$7:$H$163,C20,Outflows!$B$7:$B$163,"&lt;="&amp;Inputs!$B$11)</f>
        <v>29504.062643694189</v>
      </c>
      <c r="I20" s="35">
        <f t="shared" si="1"/>
        <v>95288.354023305816</v>
      </c>
      <c r="J20" s="35">
        <f t="shared" si="2"/>
        <v>124792.41666700001</v>
      </c>
      <c r="K20" s="64">
        <v>45292</v>
      </c>
      <c r="L20" s="64">
        <v>45627</v>
      </c>
      <c r="M20" s="58">
        <f>MAX(0,(YEAR(L20)-YEAR(MAX(K20,Inputs!$B$12)))*12+MONTH(L20)-MONTH(MAX(K20,Inputs!$B$12))+1)</f>
        <v>12</v>
      </c>
      <c r="N20" s="50" t="s">
        <v>303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67">
        <v>1</v>
      </c>
      <c r="Y20" s="67">
        <v>1</v>
      </c>
      <c r="Z20" s="67">
        <v>1</v>
      </c>
      <c r="AA20" s="67">
        <v>1</v>
      </c>
      <c r="AB20" s="67">
        <v>1</v>
      </c>
      <c r="AC20" s="67">
        <v>1</v>
      </c>
      <c r="AD20" s="67">
        <v>1</v>
      </c>
      <c r="AE20" s="67">
        <v>1</v>
      </c>
      <c r="AF20" s="67">
        <v>1</v>
      </c>
      <c r="AG20" s="70">
        <f t="shared" si="3"/>
        <v>0</v>
      </c>
      <c r="AH20" s="70">
        <f>Villas!$I$6*X20+Villas!$I$7*Y20+Villas!$I$8*Z20+Villas!$I$9*AA20+Villas!$I$10*AB20+Villas!$I$11*AC20+Villas!$I$12*AD20+Villas!$I$13*AE20+Villas!$I$14*AF20</f>
        <v>10929.56</v>
      </c>
      <c r="AI20" s="70">
        <f>Villas!$J$6*X20+Villas!$J$7*Y20+Villas!$J$8*Z20+Villas!$J$9*AA20+Villas!$J$10*AB20+Villas!$J$11*AC20+Villas!$J$12*AD20+Villas!$J$13*AE20+Villas!$J$14*AF20</f>
        <v>41035</v>
      </c>
      <c r="AJ20" s="70">
        <f>Villas!$K$6*X20+Villas!$K$7*Y20+Villas!$K$8*Z20+Villas!$K$9*AA20+Villas!$K$10*AB20+Villas!$K$11*AC20+Villas!$K$12*AD20+Villas!$K$13*AE20+Villas!$K$14*AF20</f>
        <v>11217713.053679582</v>
      </c>
      <c r="AK20" s="70">
        <f t="shared" si="4"/>
        <v>9</v>
      </c>
      <c r="AL20" s="70">
        <f t="shared" si="5"/>
        <v>41035</v>
      </c>
      <c r="AM20" s="73">
        <f>IFERROR(IF(E20="Direct",O20/$AL20,IF(E20="Building",Villas!$I6*X20/$AL20,IF(E20="Plot",Villas!$J6*X20/$AL20,IF(E20="Revenue",Villas!$K6*X20/$AL20,X20/$AL20)))),0)</f>
        <v>0.11265992445473376</v>
      </c>
      <c r="AN20" s="73">
        <f>IFERROR(IF(E20="Direct",P20/$AL20,IF(E20="Building",Villas!$I7*Y20/$AL20,IF(E20="Plot",Villas!$J7*Y20/$AL20,IF(E20="Revenue",Villas!$K7*Y20/$AL20,Y20/$AL20)))),0)</f>
        <v>4.8885098086998903E-2</v>
      </c>
      <c r="AO20" s="73">
        <f>IFERROR(IF(E20="Direct",Q20/$AL20,IF(E20="Building",Villas!$I8*Z20/$AL20,IF(E20="Plot",Villas!$J8*Z20/$AL20,IF(E20="Revenue",Villas!$K8*Z20/$AL20,Z20/$AL20)))),0)</f>
        <v>6.7771414646033867E-2</v>
      </c>
      <c r="AP20" s="73">
        <f>IFERROR(IF(E20="Direct",R20/$AL20,IF(E20="Building",Villas!$I9*AA20/$AL20,IF(E20="Plot",Villas!$J9*AA20/$AL20,IF(E20="Revenue",Villas!$K9*AA20/$AL20,AA20/$AL20)))),0)</f>
        <v>3.3434872669672232E-2</v>
      </c>
      <c r="AQ20" s="73">
        <f>IFERROR(IF(E20="Direct",S20/$AL20,IF(E20="Building",Villas!$I10*AB20/$AL20,IF(E20="Plot",Villas!$J10*AB20/$AL20,IF(E20="Revenue",Villas!$K10*AB20/$AL20,AB20/$AL20)))),0)</f>
        <v>3.4312172535640305E-2</v>
      </c>
      <c r="AR20" s="73">
        <f>IFERROR(IF(E20="Direct",T20/$AL20,IF(E20="Building",Villas!$I11*AC20/$AL20,IF(E20="Plot",Villas!$J11*AC20/$AL20,IF(E20="Revenue",Villas!$K11*AC20/$AL20,AC20/$AL20)))),0)</f>
        <v>0.14482758620689656</v>
      </c>
      <c r="AS20" s="73">
        <f>IFERROR(IF(E20="Direct",U20/$AL20,IF(E20="Building",Villas!$I12*AD20/$AL20,IF(E20="Plot",Villas!$J12*AD20/$AL20,IF(E20="Revenue",Villas!$K12*AD20/$AL20,AD20/$AL20)))),0)</f>
        <v>0.22310222980382599</v>
      </c>
      <c r="AT20" s="73">
        <f>IFERROR(IF(E20="Direct",V20/$AL20,IF(E20="Building",Villas!$I13*AE20/$AL20,IF(E20="Plot",Villas!$J13*AE20/$AL20,IF(E20="Revenue",Villas!$K13*AE20/$AL20,AE20/$AL20)))),0)</f>
        <v>0.31000365541610819</v>
      </c>
      <c r="AU20" s="73">
        <f>IFERROR(IF(E20="Direct",W20/$AL20,IF(E20="Building",Villas!$I14*AF20/$AL20,IF(E20="Plot",Villas!$J14*AF20/$AL20,IF(E20="Revenue",Villas!$K14*AF20/$AL20,AF20/$AL20)))),0)</f>
        <v>2.5003046180090166E-2</v>
      </c>
      <c r="AV20" s="73">
        <f>SUM(Development_Budget[[#This Row],[Horizon Ridge Top Weight]:[Kiri 3 Weight]])</f>
        <v>1</v>
      </c>
    </row>
    <row r="21" spans="1:48">
      <c r="A21" s="6" t="s">
        <v>318</v>
      </c>
      <c r="B21" s="6" t="s">
        <v>118</v>
      </c>
      <c r="C21" s="6" t="s">
        <v>319</v>
      </c>
      <c r="D21" s="21" t="s">
        <v>209</v>
      </c>
      <c r="E21" s="21" t="s">
        <v>142</v>
      </c>
      <c r="F21" s="34">
        <v>17941.97</v>
      </c>
      <c r="G21" s="35">
        <f t="shared" si="6"/>
        <v>17941.97</v>
      </c>
      <c r="H21" s="35">
        <f>SUMIFS(Outflows!$L$7:$L$163,Outflows!$H$7:$H$163,C21,Outflows!$B$7:$B$163,"&lt;="&amp;Inputs!$B$11)</f>
        <v>18417.396712667352</v>
      </c>
      <c r="I21" s="35">
        <f t="shared" si="1"/>
        <v>0</v>
      </c>
      <c r="J21" s="35">
        <f t="shared" si="2"/>
        <v>18417.396712667352</v>
      </c>
      <c r="K21" s="64">
        <v>45292</v>
      </c>
      <c r="L21" s="64">
        <v>45627</v>
      </c>
      <c r="M21" s="58">
        <f>MAX(0,(YEAR(L21)-YEAR(MAX(K21,Inputs!$B$12)))*12+MONTH(L21)-MONTH(MAX(K21,Inputs!$B$12))+1)</f>
        <v>12</v>
      </c>
      <c r="N21" s="50" t="s">
        <v>303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67">
        <v>1</v>
      </c>
      <c r="Y21" s="67">
        <v>1</v>
      </c>
      <c r="Z21" s="67">
        <v>1</v>
      </c>
      <c r="AA21" s="67">
        <v>1</v>
      </c>
      <c r="AB21" s="67">
        <v>1</v>
      </c>
      <c r="AC21" s="67">
        <v>1</v>
      </c>
      <c r="AD21" s="67">
        <v>1</v>
      </c>
      <c r="AE21" s="67">
        <v>1</v>
      </c>
      <c r="AF21" s="67">
        <v>1</v>
      </c>
      <c r="AG21" s="70">
        <f t="shared" si="3"/>
        <v>0</v>
      </c>
      <c r="AH21" s="70">
        <f>Villas!$I$6*X21+Villas!$I$7*Y21+Villas!$I$8*Z21+Villas!$I$9*AA21+Villas!$I$10*AB21+Villas!$I$11*AC21+Villas!$I$12*AD21+Villas!$I$13*AE21+Villas!$I$14*AF21</f>
        <v>10929.56</v>
      </c>
      <c r="AI21" s="70">
        <f>Villas!$J$6*X21+Villas!$J$7*Y21+Villas!$J$8*Z21+Villas!$J$9*AA21+Villas!$J$10*AB21+Villas!$J$11*AC21+Villas!$J$12*AD21+Villas!$J$13*AE21+Villas!$J$14*AF21</f>
        <v>41035</v>
      </c>
      <c r="AJ21" s="70">
        <f>Villas!$K$6*X21+Villas!$K$7*Y21+Villas!$K$8*Z21+Villas!$K$9*AA21+Villas!$K$10*AB21+Villas!$K$11*AC21+Villas!$K$12*AD21+Villas!$K$13*AE21+Villas!$K$14*AF21</f>
        <v>11217713.053679582</v>
      </c>
      <c r="AK21" s="70">
        <f t="shared" si="4"/>
        <v>9</v>
      </c>
      <c r="AL21" s="70">
        <f t="shared" si="5"/>
        <v>11217713.053679582</v>
      </c>
      <c r="AM21" s="73">
        <f>IFERROR(IF(E21="Direct",O21/$AL21,IF(E21="Building",Villas!$I6*X21/$AL21,IF(E21="Plot",Villas!$J6*X21/$AL21,IF(E21="Revenue",Villas!$K6*X21/$AL21,X21/$AL21)))),0)</f>
        <v>0.24960524365361236</v>
      </c>
      <c r="AN21" s="73">
        <f>IFERROR(IF(E21="Direct",P21/$AL21,IF(E21="Building",Villas!$I7*Y21/$AL21,IF(E21="Plot",Villas!$J7*Y21/$AL21,IF(E21="Revenue",Villas!$K7*Y21/$AL21,Y21/$AL21)))),0)</f>
        <v>0.26480460317223131</v>
      </c>
      <c r="AO21" s="73">
        <f>IFERROR(IF(E21="Direct",Q21/$AL21,IF(E21="Building",Villas!$I8*Z21/$AL21,IF(E21="Plot",Villas!$J8*Z21/$AL21,IF(E21="Revenue",Villas!$K8*Z21/$AL21,Z21/$AL21)))),0)</f>
        <v>0.23623353417216886</v>
      </c>
      <c r="AP21" s="73">
        <f>IFERROR(IF(E21="Direct",R21/$AL21,IF(E21="Building",Villas!$I9*AA21/$AL21,IF(E21="Plot",Villas!$J9*AA21/$AL21,IF(E21="Revenue",Villas!$K9*AA21/$AL21,AA21/$AL21)))),0)</f>
        <v>7.1315783901032104E-2</v>
      </c>
      <c r="AQ21" s="73">
        <f>IFERROR(IF(E21="Direct",S21/$AL21,IF(E21="Building",Villas!$I10*AB21/$AL21,IF(E21="Plot",Villas!$J10*AB21/$AL21,IF(E21="Revenue",Villas!$K10*AB21/$AL21,AB21/$AL21)))),0)</f>
        <v>0</v>
      </c>
      <c r="AR21" s="73">
        <f>IFERROR(IF(E21="Direct",T21/$AL21,IF(E21="Building",Villas!$I11*AC21/$AL21,IF(E21="Plot",Villas!$J11*AC21/$AL21,IF(E21="Revenue",Villas!$K11*AC21/$AL21,AC21/$AL21)))),0)</f>
        <v>0</v>
      </c>
      <c r="AS21" s="73">
        <f>IFERROR(IF(E21="Direct",U21/$AL21,IF(E21="Building",Villas!$I12*AD21/$AL21,IF(E21="Plot",Villas!$J12*AD21/$AL21,IF(E21="Revenue",Villas!$K12*AD21/$AL21,AD21/$AL21)))),0)</f>
        <v>0</v>
      </c>
      <c r="AT21" s="73">
        <f>IFERROR(IF(E21="Direct",V21/$AL21,IF(E21="Building",Villas!$I13*AE21/$AL21,IF(E21="Plot",Villas!$J13*AE21/$AL21,IF(E21="Revenue",Villas!$K13*AE21/$AL21,AE21/$AL21)))),0)</f>
        <v>0</v>
      </c>
      <c r="AU21" s="73">
        <f>IFERROR(IF(E21="Direct",W21/$AL21,IF(E21="Building",Villas!$I14*AF21/$AL21,IF(E21="Plot",Villas!$J14*AF21/$AL21,IF(E21="Revenue",Villas!$K14*AF21/$AL21,AF21/$AL21)))),0)</f>
        <v>0.17804083510095528</v>
      </c>
      <c r="AV21" s="73">
        <f>SUM(Development_Budget[[#This Row],[Horizon Ridge Top Weight]:[Kiri 3 Weight]])</f>
        <v>0.99999999999999989</v>
      </c>
    </row>
    <row r="22" spans="1:48">
      <c r="A22" s="6" t="s">
        <v>320</v>
      </c>
      <c r="B22" s="6" t="s">
        <v>118</v>
      </c>
      <c r="C22" s="6" t="s">
        <v>321</v>
      </c>
      <c r="D22" s="21" t="s">
        <v>209</v>
      </c>
      <c r="E22" s="21" t="s">
        <v>302</v>
      </c>
      <c r="F22" s="34">
        <v>40000</v>
      </c>
      <c r="G22" s="35">
        <f t="shared" si="6"/>
        <v>40000</v>
      </c>
      <c r="H22" s="35">
        <f>SUMIFS(Outflows!$L$7:$L$163,Outflows!$H$7:$H$163,C22,Outflows!$B$7:$B$163,"&lt;="&amp;Inputs!$B$11)</f>
        <v>40000</v>
      </c>
      <c r="I22" s="35">
        <f t="shared" si="1"/>
        <v>0</v>
      </c>
      <c r="J22" s="35">
        <f t="shared" si="2"/>
        <v>40000</v>
      </c>
      <c r="K22" s="64">
        <v>45292</v>
      </c>
      <c r="L22" s="64">
        <v>45627</v>
      </c>
      <c r="M22" s="58">
        <f>MAX(0,(YEAR(L22)-YEAR(MAX(K22,Inputs!$B$12)))*12+MONTH(L22)-MONTH(MAX(K22,Inputs!$B$12))+1)</f>
        <v>12</v>
      </c>
      <c r="N22" s="50" t="s">
        <v>303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67">
        <v>1</v>
      </c>
      <c r="Y22" s="67">
        <v>1</v>
      </c>
      <c r="Z22" s="67">
        <v>1</v>
      </c>
      <c r="AA22" s="67">
        <v>1</v>
      </c>
      <c r="AB22" s="67">
        <v>1</v>
      </c>
      <c r="AC22" s="67">
        <v>1</v>
      </c>
      <c r="AD22" s="67">
        <v>1</v>
      </c>
      <c r="AE22" s="67">
        <v>1</v>
      </c>
      <c r="AF22" s="67">
        <v>1</v>
      </c>
      <c r="AG22" s="70">
        <f t="shared" si="3"/>
        <v>0</v>
      </c>
      <c r="AH22" s="70">
        <f>Villas!$I$6*X22+Villas!$I$7*Y22+Villas!$I$8*Z22+Villas!$I$9*AA22+Villas!$I$10*AB22+Villas!$I$11*AC22+Villas!$I$12*AD22+Villas!$I$13*AE22+Villas!$I$14*AF22</f>
        <v>10929.56</v>
      </c>
      <c r="AI22" s="70">
        <f>Villas!$J$6*X22+Villas!$J$7*Y22+Villas!$J$8*Z22+Villas!$J$9*AA22+Villas!$J$10*AB22+Villas!$J$11*AC22+Villas!$J$12*AD22+Villas!$J$13*AE22+Villas!$J$14*AF22</f>
        <v>41035</v>
      </c>
      <c r="AJ22" s="70">
        <f>Villas!$K$6*X22+Villas!$K$7*Y22+Villas!$K$8*Z22+Villas!$K$9*AA22+Villas!$K$10*AB22+Villas!$K$11*AC22+Villas!$K$12*AD22+Villas!$K$13*AE22+Villas!$K$14*AF22</f>
        <v>11217713.053679582</v>
      </c>
      <c r="AK22" s="70">
        <f t="shared" si="4"/>
        <v>9</v>
      </c>
      <c r="AL22" s="70">
        <f t="shared" si="5"/>
        <v>10929.56</v>
      </c>
      <c r="AM22" s="73">
        <f>IFERROR(IF(E22="Direct",O22/$AL22,IF(E22="Building",Villas!$I6*X22/$AL22,IF(E22="Plot",Villas!$J6*X22/$AL22,IF(E22="Revenue",Villas!$K6*X22/$AL22,X22/$AL22)))),0)</f>
        <v>0.15392202430838939</v>
      </c>
      <c r="AN22" s="73">
        <f>IFERROR(IF(E22="Direct",P22/$AL22,IF(E22="Building",Villas!$I7*Y22/$AL22,IF(E22="Plot",Villas!$J7*Y22/$AL22,IF(E22="Revenue",Villas!$K7*Y22/$AL22,Y22/$AL22)))),0)</f>
        <v>8.7313670449679581E-2</v>
      </c>
      <c r="AO22" s="73">
        <f>IFERROR(IF(E22="Direct",Q22/$AL22,IF(E22="Building",Villas!$I8*Z22/$AL22,IF(E22="Plot",Villas!$J8*Z22/$AL22,IF(E22="Revenue",Villas!$K8*Z22/$AL22,Z22/$AL22)))),0)</f>
        <v>0.11198895472461838</v>
      </c>
      <c r="AP22" s="73">
        <f>IFERROR(IF(E22="Direct",R22/$AL22,IF(E22="Building",Villas!$I9*AA22/$AL22,IF(E22="Plot",Villas!$J9*AA22/$AL22,IF(E22="Revenue",Villas!$K9*AA22/$AL22,AA22/$AL22)))),0)</f>
        <v>4.1427102280421166E-2</v>
      </c>
      <c r="AQ22" s="73">
        <f>IFERROR(IF(E22="Direct",S22/$AL22,IF(E22="Building",Villas!$I10*AB22/$AL22,IF(E22="Plot",Villas!$J10*AB22/$AL22,IF(E22="Revenue",Villas!$K10*AB22/$AL22,AB22/$AL22)))),0)</f>
        <v>4.9063274276366114E-2</v>
      </c>
      <c r="AR22" s="73">
        <f>IFERROR(IF(E22="Direct",T22/$AL22,IF(E22="Building",Villas!$I11*AC22/$AL22,IF(E22="Plot",Villas!$J11*AC22/$AL22,IF(E22="Revenue",Villas!$K11*AC22/$AL22,AC22/$AL22)))),0)</f>
        <v>0.11829387459330477</v>
      </c>
      <c r="AS22" s="73">
        <f>IFERROR(IF(E22="Direct",U22/$AL22,IF(E22="Building",Villas!$I12*AD22/$AL22,IF(E22="Plot",Villas!$J12*AD22/$AL22,IF(E22="Revenue",Villas!$K12*AD22/$AL22,AD22/$AL22)))),0)</f>
        <v>0.16380348339731884</v>
      </c>
      <c r="AT22" s="73">
        <f>IFERROR(IF(E22="Direct",V22/$AL22,IF(E22="Building",Villas!$I13*AE22/$AL22,IF(E22="Plot",Villas!$J13*AE22/$AL22,IF(E22="Revenue",Villas!$K13*AE22/$AL22,AE22/$AL22)))),0)</f>
        <v>0.21607914682750265</v>
      </c>
      <c r="AU22" s="73">
        <f>IFERROR(IF(E22="Direct",W22/$AL22,IF(E22="Building",Villas!$I14*AF22/$AL22,IF(E22="Plot",Villas!$J14*AF22/$AL22,IF(E22="Revenue",Villas!$K14*AF22/$AL22,AF22/$AL22)))),0)</f>
        <v>5.8108469142399151E-2</v>
      </c>
      <c r="AV22" s="73">
        <f>SUM(Development_Budget[[#This Row],[Horizon Ridge Top Weight]:[Kiri 3 Weight]])</f>
        <v>1</v>
      </c>
    </row>
    <row r="23" spans="1:48">
      <c r="A23" s="6" t="s">
        <v>322</v>
      </c>
      <c r="B23" s="6" t="s">
        <v>118</v>
      </c>
      <c r="C23" s="6" t="s">
        <v>323</v>
      </c>
      <c r="D23" s="21" t="s">
        <v>209</v>
      </c>
      <c r="E23" s="21" t="s">
        <v>317</v>
      </c>
      <c r="F23" s="34">
        <v>11237.98</v>
      </c>
      <c r="G23" s="35">
        <f t="shared" si="6"/>
        <v>11237.98</v>
      </c>
      <c r="H23" s="35">
        <f>SUMIFS(Outflows!$L$7:$L$163,Outflows!$H$7:$H$163,C23,Outflows!$B$7:$B$163,"&lt;="&amp;Inputs!$B$11)</f>
        <v>273.33333333333331</v>
      </c>
      <c r="I23" s="35">
        <f t="shared" si="1"/>
        <v>10964.646666666666</v>
      </c>
      <c r="J23" s="35">
        <f t="shared" si="2"/>
        <v>11237.98</v>
      </c>
      <c r="K23" s="64">
        <v>45292</v>
      </c>
      <c r="L23" s="64">
        <v>45444</v>
      </c>
      <c r="M23" s="58">
        <f>MAX(0,(YEAR(L23)-YEAR(MAX(K23,Inputs!$B$12)))*12+MONTH(L23)-MONTH(MAX(K23,Inputs!$B$12))+1)</f>
        <v>6</v>
      </c>
      <c r="N23" s="50" t="s">
        <v>303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67">
        <v>1</v>
      </c>
      <c r="Y23" s="67">
        <v>1</v>
      </c>
      <c r="Z23" s="67">
        <v>1</v>
      </c>
      <c r="AA23" s="67">
        <v>1</v>
      </c>
      <c r="AB23" s="67">
        <v>1</v>
      </c>
      <c r="AC23" s="67">
        <v>1</v>
      </c>
      <c r="AD23" s="67">
        <v>1</v>
      </c>
      <c r="AE23" s="67">
        <v>1</v>
      </c>
      <c r="AF23" s="67">
        <v>1</v>
      </c>
      <c r="AG23" s="70">
        <f t="shared" si="3"/>
        <v>0</v>
      </c>
      <c r="AH23" s="70">
        <f>Villas!$I$6*X23+Villas!$I$7*Y23+Villas!$I$8*Z23+Villas!$I$9*AA23+Villas!$I$10*AB23+Villas!$I$11*AC23+Villas!$I$12*AD23+Villas!$I$13*AE23+Villas!$I$14*AF23</f>
        <v>10929.56</v>
      </c>
      <c r="AI23" s="70">
        <f>Villas!$J$6*X23+Villas!$J$7*Y23+Villas!$J$8*Z23+Villas!$J$9*AA23+Villas!$J$10*AB23+Villas!$J$11*AC23+Villas!$J$12*AD23+Villas!$J$13*AE23+Villas!$J$14*AF23</f>
        <v>41035</v>
      </c>
      <c r="AJ23" s="70">
        <f>Villas!$K$6*X23+Villas!$K$7*Y23+Villas!$K$8*Z23+Villas!$K$9*AA23+Villas!$K$10*AB23+Villas!$K$11*AC23+Villas!$K$12*AD23+Villas!$K$13*AE23+Villas!$K$14*AF23</f>
        <v>11217713.053679582</v>
      </c>
      <c r="AK23" s="70">
        <f t="shared" si="4"/>
        <v>9</v>
      </c>
      <c r="AL23" s="70">
        <f t="shared" si="5"/>
        <v>41035</v>
      </c>
      <c r="AM23" s="73">
        <f>IFERROR(IF(E23="Direct",O23/$AL23,IF(E23="Building",Villas!$I6*X23/$AL23,IF(E23="Plot",Villas!$J6*X23/$AL23,IF(E23="Revenue",Villas!$K6*X23/$AL23,X23/$AL23)))),0)</f>
        <v>0.11265992445473376</v>
      </c>
      <c r="AN23" s="73">
        <f>IFERROR(IF(E23="Direct",P23/$AL23,IF(E23="Building",Villas!$I7*Y23/$AL23,IF(E23="Plot",Villas!$J7*Y23/$AL23,IF(E23="Revenue",Villas!$K7*Y23/$AL23,Y23/$AL23)))),0)</f>
        <v>4.8885098086998903E-2</v>
      </c>
      <c r="AO23" s="73">
        <f>IFERROR(IF(E23="Direct",Q23/$AL23,IF(E23="Building",Villas!$I8*Z23/$AL23,IF(E23="Plot",Villas!$J8*Z23/$AL23,IF(E23="Revenue",Villas!$K8*Z23/$AL23,Z23/$AL23)))),0)</f>
        <v>6.7771414646033867E-2</v>
      </c>
      <c r="AP23" s="73">
        <f>IFERROR(IF(E23="Direct",R23/$AL23,IF(E23="Building",Villas!$I9*AA23/$AL23,IF(E23="Plot",Villas!$J9*AA23/$AL23,IF(E23="Revenue",Villas!$K9*AA23/$AL23,AA23/$AL23)))),0)</f>
        <v>3.3434872669672232E-2</v>
      </c>
      <c r="AQ23" s="73">
        <f>IFERROR(IF(E23="Direct",S23/$AL23,IF(E23="Building",Villas!$I10*AB23/$AL23,IF(E23="Plot",Villas!$J10*AB23/$AL23,IF(E23="Revenue",Villas!$K10*AB23/$AL23,AB23/$AL23)))),0)</f>
        <v>3.4312172535640305E-2</v>
      </c>
      <c r="AR23" s="73">
        <f>IFERROR(IF(E23="Direct",T23/$AL23,IF(E23="Building",Villas!$I11*AC23/$AL23,IF(E23="Plot",Villas!$J11*AC23/$AL23,IF(E23="Revenue",Villas!$K11*AC23/$AL23,AC23/$AL23)))),0)</f>
        <v>0.14482758620689656</v>
      </c>
      <c r="AS23" s="73">
        <f>IFERROR(IF(E23="Direct",U23/$AL23,IF(E23="Building",Villas!$I12*AD23/$AL23,IF(E23="Plot",Villas!$J12*AD23/$AL23,IF(E23="Revenue",Villas!$K12*AD23/$AL23,AD23/$AL23)))),0)</f>
        <v>0.22310222980382599</v>
      </c>
      <c r="AT23" s="73">
        <f>IFERROR(IF(E23="Direct",V23/$AL23,IF(E23="Building",Villas!$I13*AE23/$AL23,IF(E23="Plot",Villas!$J13*AE23/$AL23,IF(E23="Revenue",Villas!$K13*AE23/$AL23,AE23/$AL23)))),0)</f>
        <v>0.31000365541610819</v>
      </c>
      <c r="AU23" s="73">
        <f>IFERROR(IF(E23="Direct",W23/$AL23,IF(E23="Building",Villas!$I14*AF23/$AL23,IF(E23="Plot",Villas!$J14*AF23/$AL23,IF(E23="Revenue",Villas!$K14*AF23/$AL23,AF23/$AL23)))),0)</f>
        <v>2.5003046180090166E-2</v>
      </c>
      <c r="AV23" s="73">
        <f>SUM(Development_Budget[[#This Row],[Horizon Ridge Top Weight]:[Kiri 3 Weight]])</f>
        <v>1</v>
      </c>
    </row>
    <row r="24" spans="1:48">
      <c r="A24" s="6" t="s">
        <v>324</v>
      </c>
      <c r="B24" s="6" t="s">
        <v>118</v>
      </c>
      <c r="C24" s="6" t="s">
        <v>325</v>
      </c>
      <c r="D24" s="21" t="s">
        <v>209</v>
      </c>
      <c r="E24" s="21" t="s">
        <v>317</v>
      </c>
      <c r="F24" s="34">
        <v>30850.6</v>
      </c>
      <c r="G24" s="35">
        <f t="shared" si="6"/>
        <v>30850.6</v>
      </c>
      <c r="H24" s="35">
        <f>SUMIFS(Outflows!$L$7:$L$163,Outflows!$H$7:$H$163,C24,Outflows!$B$7:$B$163,"&lt;="&amp;Inputs!$B$11)</f>
        <v>12118.86866570643</v>
      </c>
      <c r="I24" s="35">
        <f t="shared" si="1"/>
        <v>18731.731334293567</v>
      </c>
      <c r="J24" s="35">
        <f t="shared" si="2"/>
        <v>30850.6</v>
      </c>
      <c r="K24" s="64">
        <v>45292</v>
      </c>
      <c r="L24" s="64">
        <v>45444</v>
      </c>
      <c r="M24" s="58">
        <f>MAX(0,(YEAR(L24)-YEAR(MAX(K24,Inputs!$B$12)))*12+MONTH(L24)-MONTH(MAX(K24,Inputs!$B$12))+1)</f>
        <v>6</v>
      </c>
      <c r="N24" s="50" t="s">
        <v>303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67">
        <v>1</v>
      </c>
      <c r="Y24" s="67">
        <v>1</v>
      </c>
      <c r="Z24" s="67">
        <v>1</v>
      </c>
      <c r="AA24" s="67">
        <v>1</v>
      </c>
      <c r="AB24" s="67">
        <v>1</v>
      </c>
      <c r="AC24" s="67">
        <v>1</v>
      </c>
      <c r="AD24" s="67">
        <v>1</v>
      </c>
      <c r="AE24" s="67">
        <v>1</v>
      </c>
      <c r="AF24" s="67">
        <v>1</v>
      </c>
      <c r="AG24" s="70">
        <f t="shared" si="3"/>
        <v>0</v>
      </c>
      <c r="AH24" s="70">
        <f>Villas!$I$6*X24+Villas!$I$7*Y24+Villas!$I$8*Z24+Villas!$I$9*AA24+Villas!$I$10*AB24+Villas!$I$11*AC24+Villas!$I$12*AD24+Villas!$I$13*AE24+Villas!$I$14*AF24</f>
        <v>10929.56</v>
      </c>
      <c r="AI24" s="70">
        <f>Villas!$J$6*X24+Villas!$J$7*Y24+Villas!$J$8*Z24+Villas!$J$9*AA24+Villas!$J$10*AB24+Villas!$J$11*AC24+Villas!$J$12*AD24+Villas!$J$13*AE24+Villas!$J$14*AF24</f>
        <v>41035</v>
      </c>
      <c r="AJ24" s="70">
        <f>Villas!$K$6*X24+Villas!$K$7*Y24+Villas!$K$8*Z24+Villas!$K$9*AA24+Villas!$K$10*AB24+Villas!$K$11*AC24+Villas!$K$12*AD24+Villas!$K$13*AE24+Villas!$K$14*AF24</f>
        <v>11217713.053679582</v>
      </c>
      <c r="AK24" s="70">
        <f t="shared" si="4"/>
        <v>9</v>
      </c>
      <c r="AL24" s="70">
        <f t="shared" si="5"/>
        <v>41035</v>
      </c>
      <c r="AM24" s="73">
        <f>IFERROR(IF(E24="Direct",O24/$AL24,IF(E24="Building",Villas!$I6*X24/$AL24,IF(E24="Plot",Villas!$J6*X24/$AL24,IF(E24="Revenue",Villas!$K6*X24/$AL24,X24/$AL24)))),0)</f>
        <v>0.11265992445473376</v>
      </c>
      <c r="AN24" s="73">
        <f>IFERROR(IF(E24="Direct",P24/$AL24,IF(E24="Building",Villas!$I7*Y24/$AL24,IF(E24="Plot",Villas!$J7*Y24/$AL24,IF(E24="Revenue",Villas!$K7*Y24/$AL24,Y24/$AL24)))),0)</f>
        <v>4.8885098086998903E-2</v>
      </c>
      <c r="AO24" s="73">
        <f>IFERROR(IF(E24="Direct",Q24/$AL24,IF(E24="Building",Villas!$I8*Z24/$AL24,IF(E24="Plot",Villas!$J8*Z24/$AL24,IF(E24="Revenue",Villas!$K8*Z24/$AL24,Z24/$AL24)))),0)</f>
        <v>6.7771414646033867E-2</v>
      </c>
      <c r="AP24" s="73">
        <f>IFERROR(IF(E24="Direct",R24/$AL24,IF(E24="Building",Villas!$I9*AA24/$AL24,IF(E24="Plot",Villas!$J9*AA24/$AL24,IF(E24="Revenue",Villas!$K9*AA24/$AL24,AA24/$AL24)))),0)</f>
        <v>3.3434872669672232E-2</v>
      </c>
      <c r="AQ24" s="73">
        <f>IFERROR(IF(E24="Direct",S24/$AL24,IF(E24="Building",Villas!$I10*AB24/$AL24,IF(E24="Plot",Villas!$J10*AB24/$AL24,IF(E24="Revenue",Villas!$K10*AB24/$AL24,AB24/$AL24)))),0)</f>
        <v>3.4312172535640305E-2</v>
      </c>
      <c r="AR24" s="73">
        <f>IFERROR(IF(E24="Direct",T24/$AL24,IF(E24="Building",Villas!$I11*AC24/$AL24,IF(E24="Plot",Villas!$J11*AC24/$AL24,IF(E24="Revenue",Villas!$K11*AC24/$AL24,AC24/$AL24)))),0)</f>
        <v>0.14482758620689656</v>
      </c>
      <c r="AS24" s="73">
        <f>IFERROR(IF(E24="Direct",U24/$AL24,IF(E24="Building",Villas!$I12*AD24/$AL24,IF(E24="Plot",Villas!$J12*AD24/$AL24,IF(E24="Revenue",Villas!$K12*AD24/$AL24,AD24/$AL24)))),0)</f>
        <v>0.22310222980382599</v>
      </c>
      <c r="AT24" s="73">
        <f>IFERROR(IF(E24="Direct",V24/$AL24,IF(E24="Building",Villas!$I13*AE24/$AL24,IF(E24="Plot",Villas!$J13*AE24/$AL24,IF(E24="Revenue",Villas!$K13*AE24/$AL24,AE24/$AL24)))),0)</f>
        <v>0.31000365541610819</v>
      </c>
      <c r="AU24" s="73">
        <f>IFERROR(IF(E24="Direct",W24/$AL24,IF(E24="Building",Villas!$I14*AF24/$AL24,IF(E24="Plot",Villas!$J14*AF24/$AL24,IF(E24="Revenue",Villas!$K14*AF24/$AL24,AF24/$AL24)))),0)</f>
        <v>2.5003046180090166E-2</v>
      </c>
      <c r="AV24" s="73">
        <f>SUM(Development_Budget[[#This Row],[Horizon Ridge Top Weight]:[Kiri 3 Weight]])</f>
        <v>1</v>
      </c>
    </row>
    <row r="25" spans="1:48">
      <c r="A25" s="6" t="s">
        <v>326</v>
      </c>
      <c r="B25" s="6" t="s">
        <v>118</v>
      </c>
      <c r="C25" s="6" t="s">
        <v>327</v>
      </c>
      <c r="D25" s="21" t="s">
        <v>209</v>
      </c>
      <c r="E25" s="21" t="s">
        <v>302</v>
      </c>
      <c r="F25" s="34">
        <v>30412.440332999999</v>
      </c>
      <c r="G25" s="35">
        <f t="shared" si="6"/>
        <v>30412.440332999999</v>
      </c>
      <c r="H25" s="35">
        <f>SUMIFS(Outflows!$L$7:$L$163,Outflows!$H$7:$H$163,C25,Outflows!$B$7:$B$163,"&lt;="&amp;Inputs!$B$11)</f>
        <v>0</v>
      </c>
      <c r="I25" s="35">
        <f t="shared" si="1"/>
        <v>30412.440332999999</v>
      </c>
      <c r="J25" s="35">
        <f t="shared" si="2"/>
        <v>30412.440332999999</v>
      </c>
      <c r="K25" s="64">
        <v>45292</v>
      </c>
      <c r="L25" s="64">
        <v>45627</v>
      </c>
      <c r="M25" s="58">
        <f>MAX(0,(YEAR(L25)-YEAR(MAX(K25,Inputs!$B$12)))*12+MONTH(L25)-MONTH(MAX(K25,Inputs!$B$12))+1)</f>
        <v>12</v>
      </c>
      <c r="N25" s="50" t="s">
        <v>303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67">
        <v>1</v>
      </c>
      <c r="Y25" s="67">
        <v>1</v>
      </c>
      <c r="Z25" s="67">
        <v>1</v>
      </c>
      <c r="AA25" s="67">
        <v>1</v>
      </c>
      <c r="AB25" s="67">
        <v>1</v>
      </c>
      <c r="AC25" s="67">
        <v>1</v>
      </c>
      <c r="AD25" s="67">
        <v>1</v>
      </c>
      <c r="AE25" s="67">
        <v>1</v>
      </c>
      <c r="AF25" s="67">
        <v>1</v>
      </c>
      <c r="AG25" s="70">
        <f t="shared" si="3"/>
        <v>0</v>
      </c>
      <c r="AH25" s="70">
        <f>Villas!$I$6*X25+Villas!$I$7*Y25+Villas!$I$8*Z25+Villas!$I$9*AA25+Villas!$I$10*AB25+Villas!$I$11*AC25+Villas!$I$12*AD25+Villas!$I$13*AE25+Villas!$I$14*AF25</f>
        <v>10929.56</v>
      </c>
      <c r="AI25" s="70">
        <f>Villas!$J$6*X25+Villas!$J$7*Y25+Villas!$J$8*Z25+Villas!$J$9*AA25+Villas!$J$10*AB25+Villas!$J$11*AC25+Villas!$J$12*AD25+Villas!$J$13*AE25+Villas!$J$14*AF25</f>
        <v>41035</v>
      </c>
      <c r="AJ25" s="70">
        <f>Villas!$K$6*X25+Villas!$K$7*Y25+Villas!$K$8*Z25+Villas!$K$9*AA25+Villas!$K$10*AB25+Villas!$K$11*AC25+Villas!$K$12*AD25+Villas!$K$13*AE25+Villas!$K$14*AF25</f>
        <v>11217713.053679582</v>
      </c>
      <c r="AK25" s="70">
        <f t="shared" si="4"/>
        <v>9</v>
      </c>
      <c r="AL25" s="70">
        <f t="shared" si="5"/>
        <v>10929.56</v>
      </c>
      <c r="AM25" s="73">
        <f>IFERROR(IF(E25="Direct",O25/$AL25,IF(E25="Building",Villas!$I6*X25/$AL25,IF(E25="Plot",Villas!$J6*X25/$AL25,IF(E25="Revenue",Villas!$K6*X25/$AL25,X25/$AL25)))),0)</f>
        <v>0.15392202430838939</v>
      </c>
      <c r="AN25" s="73">
        <f>IFERROR(IF(E25="Direct",P25/$AL25,IF(E25="Building",Villas!$I7*Y25/$AL25,IF(E25="Plot",Villas!$J7*Y25/$AL25,IF(E25="Revenue",Villas!$K7*Y25/$AL25,Y25/$AL25)))),0)</f>
        <v>8.7313670449679581E-2</v>
      </c>
      <c r="AO25" s="73">
        <f>IFERROR(IF(E25="Direct",Q25/$AL25,IF(E25="Building",Villas!$I8*Z25/$AL25,IF(E25="Plot",Villas!$J8*Z25/$AL25,IF(E25="Revenue",Villas!$K8*Z25/$AL25,Z25/$AL25)))),0)</f>
        <v>0.11198895472461838</v>
      </c>
      <c r="AP25" s="73">
        <f>IFERROR(IF(E25="Direct",R25/$AL25,IF(E25="Building",Villas!$I9*AA25/$AL25,IF(E25="Plot",Villas!$J9*AA25/$AL25,IF(E25="Revenue",Villas!$K9*AA25/$AL25,AA25/$AL25)))),0)</f>
        <v>4.1427102280421166E-2</v>
      </c>
      <c r="AQ25" s="73">
        <f>IFERROR(IF(E25="Direct",S25/$AL25,IF(E25="Building",Villas!$I10*AB25/$AL25,IF(E25="Plot",Villas!$J10*AB25/$AL25,IF(E25="Revenue",Villas!$K10*AB25/$AL25,AB25/$AL25)))),0)</f>
        <v>4.9063274276366114E-2</v>
      </c>
      <c r="AR25" s="73">
        <f>IFERROR(IF(E25="Direct",T25/$AL25,IF(E25="Building",Villas!$I11*AC25/$AL25,IF(E25="Plot",Villas!$J11*AC25/$AL25,IF(E25="Revenue",Villas!$K11*AC25/$AL25,AC25/$AL25)))),0)</f>
        <v>0.11829387459330477</v>
      </c>
      <c r="AS25" s="73">
        <f>IFERROR(IF(E25="Direct",U25/$AL25,IF(E25="Building",Villas!$I12*AD25/$AL25,IF(E25="Plot",Villas!$J12*AD25/$AL25,IF(E25="Revenue",Villas!$K12*AD25/$AL25,AD25/$AL25)))),0)</f>
        <v>0.16380348339731884</v>
      </c>
      <c r="AT25" s="73">
        <f>IFERROR(IF(E25="Direct",V25/$AL25,IF(E25="Building",Villas!$I13*AE25/$AL25,IF(E25="Plot",Villas!$J13*AE25/$AL25,IF(E25="Revenue",Villas!$K13*AE25/$AL25,AE25/$AL25)))),0)</f>
        <v>0.21607914682750265</v>
      </c>
      <c r="AU25" s="73">
        <f>IFERROR(IF(E25="Direct",W25/$AL25,IF(E25="Building",Villas!$I14*AF25/$AL25,IF(E25="Plot",Villas!$J14*AF25/$AL25,IF(E25="Revenue",Villas!$K14*AF25/$AL25,AF25/$AL25)))),0)</f>
        <v>5.8108469142399151E-2</v>
      </c>
      <c r="AV25" s="73">
        <f>SUM(Development_Budget[[#This Row],[Horizon Ridge Top Weight]:[Kiri 3 Weight]])</f>
        <v>1</v>
      </c>
    </row>
    <row r="26" spans="1:48">
      <c r="A26" s="6" t="s">
        <v>328</v>
      </c>
      <c r="B26" s="6" t="s">
        <v>118</v>
      </c>
      <c r="C26" s="6" t="s">
        <v>329</v>
      </c>
      <c r="D26" s="21" t="s">
        <v>209</v>
      </c>
      <c r="E26" s="21" t="s">
        <v>302</v>
      </c>
      <c r="F26" s="34">
        <v>0</v>
      </c>
      <c r="G26" s="35">
        <f t="shared" si="6"/>
        <v>0</v>
      </c>
      <c r="H26" s="35">
        <f>SUMIFS(Outflows!$L$7:$L$163,Outflows!$H$7:$H$163,C26,Outflows!$B$7:$B$163,"&lt;="&amp;Inputs!$B$11)</f>
        <v>2707.6316960030499</v>
      </c>
      <c r="I26" s="35">
        <f t="shared" si="1"/>
        <v>0</v>
      </c>
      <c r="J26" s="35">
        <f t="shared" si="2"/>
        <v>2707.6316960030499</v>
      </c>
      <c r="K26" s="64">
        <v>45292</v>
      </c>
      <c r="L26" s="64">
        <v>45627</v>
      </c>
      <c r="M26" s="58">
        <f>MAX(0,(YEAR(L26)-YEAR(MAX(K26,Inputs!$B$12)))*12+MONTH(L26)-MONTH(MAX(K26,Inputs!$B$12))+1)</f>
        <v>12</v>
      </c>
      <c r="N26" s="50" t="s">
        <v>330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67">
        <v>1</v>
      </c>
      <c r="Y26" s="67">
        <v>1</v>
      </c>
      <c r="Z26" s="67">
        <v>1</v>
      </c>
      <c r="AA26" s="67">
        <v>1</v>
      </c>
      <c r="AB26" s="67">
        <v>0</v>
      </c>
      <c r="AC26" s="67">
        <v>0</v>
      </c>
      <c r="AD26" s="67">
        <v>0</v>
      </c>
      <c r="AE26" s="67">
        <v>0</v>
      </c>
      <c r="AF26" s="67">
        <v>1</v>
      </c>
      <c r="AG26" s="70">
        <f t="shared" si="3"/>
        <v>0</v>
      </c>
      <c r="AH26" s="70">
        <f>Villas!$I$6*X26+Villas!$I$7*Y26+Villas!$I$8*Z26+Villas!$I$9*AA26+Villas!$I$10*AB26+Villas!$I$11*AC26+Villas!$I$12*AD26+Villas!$I$13*AE26+Villas!$I$14*AF26</f>
        <v>4948.47</v>
      </c>
      <c r="AI26" s="70">
        <f>Villas!$J$6*X26+Villas!$J$7*Y26+Villas!$J$8*Z26+Villas!$J$9*AA26+Villas!$J$10*AB26+Villas!$J$11*AC26+Villas!$J$12*AD26+Villas!$J$13*AE26+Villas!$J$14*AF26</f>
        <v>11808</v>
      </c>
      <c r="AJ26" s="70">
        <f>Villas!$K$6*X26+Villas!$K$7*Y26+Villas!$K$8*Z26+Villas!$K$9*AA26+Villas!$K$10*AB26+Villas!$K$11*AC26+Villas!$K$12*AD26+Villas!$K$13*AE26+Villas!$K$14*AF26</f>
        <v>11217713.053679582</v>
      </c>
      <c r="AK26" s="70">
        <f t="shared" si="4"/>
        <v>5</v>
      </c>
      <c r="AL26" s="70">
        <f t="shared" si="5"/>
        <v>4948.47</v>
      </c>
      <c r="AM26" s="73">
        <f>IFERROR(IF(E26="Direct",O26/$AL26,IF(E26="Building",Villas!$I6*X26/$AL26,IF(E26="Plot",Villas!$J6*X26/$AL26,IF(E26="Revenue",Villas!$K6*X26/$AL26,X26/$AL26)))),0)</f>
        <v>0.33996366553702462</v>
      </c>
      <c r="AN26" s="73">
        <f>IFERROR(IF(E26="Direct",P26/$AL26,IF(E26="Building",Villas!$I7*Y26/$AL26,IF(E26="Plot",Villas!$J7*Y26/$AL26,IF(E26="Revenue",Villas!$K7*Y26/$AL26,Y26/$AL26)))),0)</f>
        <v>0.19284748619270198</v>
      </c>
      <c r="AO26" s="73">
        <f>IFERROR(IF(E26="Direct",Q26/$AL26,IF(E26="Building",Villas!$I8*Z26/$AL26,IF(E26="Plot",Villas!$J8*Z26/$AL26,IF(E26="Revenue",Villas!$K8*Z26/$AL26,Z26/$AL26)))),0)</f>
        <v>0.24734715982919972</v>
      </c>
      <c r="AP26" s="73">
        <f>IFERROR(IF(E26="Direct",R26/$AL26,IF(E26="Building",Villas!$I9*AA26/$AL26,IF(E26="Plot",Villas!$J9*AA26/$AL26,IF(E26="Revenue",Villas!$K9*AA26/$AL26,AA26/$AL26)))),0)</f>
        <v>9.1498988576266996E-2</v>
      </c>
      <c r="AQ26" s="73">
        <f>IFERROR(IF(E26="Direct",S26/$AL26,IF(E26="Building",Villas!$I10*AB26/$AL26,IF(E26="Plot",Villas!$J10*AB26/$AL26,IF(E26="Revenue",Villas!$K10*AB26/$AL26,AB26/$AL26)))),0)</f>
        <v>0</v>
      </c>
      <c r="AR26" s="73">
        <f>IFERROR(IF(E26="Direct",T26/$AL26,IF(E26="Building",Villas!$I11*AC26/$AL26,IF(E26="Plot",Villas!$J11*AC26/$AL26,IF(E26="Revenue",Villas!$K11*AC26/$AL26,AC26/$AL26)))),0)</f>
        <v>0</v>
      </c>
      <c r="AS26" s="73">
        <f>IFERROR(IF(E26="Direct",U26/$AL26,IF(E26="Building",Villas!$I12*AD26/$AL26,IF(E26="Plot",Villas!$J12*AD26/$AL26,IF(E26="Revenue",Villas!$K12*AD26/$AL26,AD26/$AL26)))),0)</f>
        <v>0</v>
      </c>
      <c r="AT26" s="73">
        <f>IFERROR(IF(E26="Direct",V26/$AL26,IF(E26="Building",Villas!$I13*AE26/$AL26,IF(E26="Plot",Villas!$J13*AE26/$AL26,IF(E26="Revenue",Villas!$K13*AE26/$AL26,AE26/$AL26)))),0)</f>
        <v>0</v>
      </c>
      <c r="AU26" s="73">
        <f>IFERROR(IF(E26="Direct",W26/$AL26,IF(E26="Building",Villas!$I14*AF26/$AL26,IF(E26="Plot",Villas!$J14*AF26/$AL26,IF(E26="Revenue",Villas!$K14*AF26/$AL26,AF26/$AL26)))),0)</f>
        <v>0.1283426998648067</v>
      </c>
      <c r="AV26" s="73">
        <f>SUM(Development_Budget[[#This Row],[Horizon Ridge Top Weight]:[Kiri 3 Weight]])</f>
        <v>1</v>
      </c>
    </row>
    <row r="27" spans="1:48">
      <c r="A27" s="6" t="s">
        <v>331</v>
      </c>
      <c r="B27" s="6" t="s">
        <v>119</v>
      </c>
      <c r="C27" s="6" t="s">
        <v>332</v>
      </c>
      <c r="D27" s="21" t="s">
        <v>209</v>
      </c>
      <c r="E27" s="21" t="s">
        <v>302</v>
      </c>
      <c r="F27" s="34">
        <v>126198.65333299999</v>
      </c>
      <c r="G27" s="35">
        <f t="shared" si="6"/>
        <v>126198.65333299999</v>
      </c>
      <c r="H27" s="35">
        <f>SUMIFS(Outflows!$L$7:$L$163,Outflows!$H$7:$H$163,C27,Outflows!$B$7:$B$163,"&lt;="&amp;Inputs!$B$11)</f>
        <v>0</v>
      </c>
      <c r="I27" s="35">
        <f t="shared" si="1"/>
        <v>126198.65333299999</v>
      </c>
      <c r="J27" s="35">
        <f t="shared" si="2"/>
        <v>126198.65333299999</v>
      </c>
      <c r="K27" s="64">
        <v>45292</v>
      </c>
      <c r="L27" s="64">
        <v>45901</v>
      </c>
      <c r="M27" s="58">
        <f>MAX(0,(YEAR(L27)-YEAR(MAX(K27,Inputs!$B$12)))*12+MONTH(L27)-MONTH(MAX(K27,Inputs!$B$12))+1)</f>
        <v>21</v>
      </c>
      <c r="N27" s="50" t="s">
        <v>333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67">
        <v>1</v>
      </c>
      <c r="Y27" s="67">
        <v>1</v>
      </c>
      <c r="Z27" s="67">
        <v>1</v>
      </c>
      <c r="AA27" s="67">
        <v>1</v>
      </c>
      <c r="AB27" s="67">
        <v>0</v>
      </c>
      <c r="AC27" s="67">
        <v>0</v>
      </c>
      <c r="AD27" s="67">
        <v>0</v>
      </c>
      <c r="AE27" s="67">
        <v>0</v>
      </c>
      <c r="AF27" s="67">
        <v>1</v>
      </c>
      <c r="AG27" s="70">
        <f t="shared" si="3"/>
        <v>0</v>
      </c>
      <c r="AH27" s="70">
        <f>Villas!$I$6*X27+Villas!$I$7*Y27+Villas!$I$8*Z27+Villas!$I$9*AA27+Villas!$I$10*AB27+Villas!$I$11*AC27+Villas!$I$12*AD27+Villas!$I$13*AE27+Villas!$I$14*AF27</f>
        <v>4948.47</v>
      </c>
      <c r="AI27" s="70">
        <f>Villas!$J$6*X27+Villas!$J$7*Y27+Villas!$J$8*Z27+Villas!$J$9*AA27+Villas!$J$10*AB27+Villas!$J$11*AC27+Villas!$J$12*AD27+Villas!$J$13*AE27+Villas!$J$14*AF27</f>
        <v>11808</v>
      </c>
      <c r="AJ27" s="70">
        <f>Villas!$K$6*X27+Villas!$K$7*Y27+Villas!$K$8*Z27+Villas!$K$9*AA27+Villas!$K$10*AB27+Villas!$K$11*AC27+Villas!$K$12*AD27+Villas!$K$13*AE27+Villas!$K$14*AF27</f>
        <v>11217713.053679582</v>
      </c>
      <c r="AK27" s="70">
        <f t="shared" si="4"/>
        <v>5</v>
      </c>
      <c r="AL27" s="70">
        <f t="shared" si="5"/>
        <v>4948.47</v>
      </c>
      <c r="AM27" s="73">
        <f>IFERROR(IF(E27="Direct",O27/$AL27,IF(E27="Building",Villas!$I6*X27/$AL27,IF(E27="Plot",Villas!$J6*X27/$AL27,IF(E27="Revenue",Villas!$K6*X27/$AL27,X27/$AL27)))),0)</f>
        <v>0.33996366553702462</v>
      </c>
      <c r="AN27" s="73">
        <f>IFERROR(IF(E27="Direct",P27/$AL27,IF(E27="Building",Villas!$I7*Y27/$AL27,IF(E27="Plot",Villas!$J7*Y27/$AL27,IF(E27="Revenue",Villas!$K7*Y27/$AL27,Y27/$AL27)))),0)</f>
        <v>0.19284748619270198</v>
      </c>
      <c r="AO27" s="73">
        <f>IFERROR(IF(E27="Direct",Q27/$AL27,IF(E27="Building",Villas!$I8*Z27/$AL27,IF(E27="Plot",Villas!$J8*Z27/$AL27,IF(E27="Revenue",Villas!$K8*Z27/$AL27,Z27/$AL27)))),0)</f>
        <v>0.24734715982919972</v>
      </c>
      <c r="AP27" s="73">
        <f>IFERROR(IF(E27="Direct",R27/$AL27,IF(E27="Building",Villas!$I9*AA27/$AL27,IF(E27="Plot",Villas!$J9*AA27/$AL27,IF(E27="Revenue",Villas!$K9*AA27/$AL27,AA27/$AL27)))),0)</f>
        <v>9.1498988576266996E-2</v>
      </c>
      <c r="AQ27" s="73">
        <f>IFERROR(IF(E27="Direct",S27/$AL27,IF(E27="Building",Villas!$I10*AB27/$AL27,IF(E27="Plot",Villas!$J10*AB27/$AL27,IF(E27="Revenue",Villas!$K10*AB27/$AL27,AB27/$AL27)))),0)</f>
        <v>0</v>
      </c>
      <c r="AR27" s="73">
        <f>IFERROR(IF(E27="Direct",T27/$AL27,IF(E27="Building",Villas!$I11*AC27/$AL27,IF(E27="Plot",Villas!$J11*AC27/$AL27,IF(E27="Revenue",Villas!$K11*AC27/$AL27,AC27/$AL27)))),0)</f>
        <v>0</v>
      </c>
      <c r="AS27" s="73">
        <f>IFERROR(IF(E27="Direct",U27/$AL27,IF(E27="Building",Villas!$I12*AD27/$AL27,IF(E27="Plot",Villas!$J12*AD27/$AL27,IF(E27="Revenue",Villas!$K12*AD27/$AL27,AD27/$AL27)))),0)</f>
        <v>0</v>
      </c>
      <c r="AT27" s="73">
        <f>IFERROR(IF(E27="Direct",V27/$AL27,IF(E27="Building",Villas!$I13*AE27/$AL27,IF(E27="Plot",Villas!$J13*AE27/$AL27,IF(E27="Revenue",Villas!$K13*AE27/$AL27,AE27/$AL27)))),0)</f>
        <v>0</v>
      </c>
      <c r="AU27" s="73">
        <f>IFERROR(IF(E27="Direct",W27/$AL27,IF(E27="Building",Villas!$I14*AF27/$AL27,IF(E27="Plot",Villas!$J14*AF27/$AL27,IF(E27="Revenue",Villas!$K14*AF27/$AL27,AF27/$AL27)))),0)</f>
        <v>0.1283426998648067</v>
      </c>
      <c r="AV27" s="73">
        <f>SUM(Development_Budget[[#This Row],[Horizon Ridge Top Weight]:[Kiri 3 Weight]])</f>
        <v>1</v>
      </c>
    </row>
    <row r="28" spans="1:48">
      <c r="A28" s="6" t="s">
        <v>334</v>
      </c>
      <c r="B28" s="6" t="s">
        <v>119</v>
      </c>
      <c r="C28" s="6" t="s">
        <v>335</v>
      </c>
      <c r="D28" s="21" t="s">
        <v>209</v>
      </c>
      <c r="E28" s="21" t="s">
        <v>302</v>
      </c>
      <c r="F28" s="34">
        <v>907500</v>
      </c>
      <c r="G28" s="35">
        <f t="shared" si="6"/>
        <v>907500</v>
      </c>
      <c r="H28" s="35">
        <f>SUMIFS(Outflows!$L$7:$L$163,Outflows!$H$7:$H$163,C28,Outflows!$B$7:$B$163,"&lt;="&amp;Inputs!$B$11)</f>
        <v>330000</v>
      </c>
      <c r="I28" s="35">
        <f t="shared" si="1"/>
        <v>577500</v>
      </c>
      <c r="J28" s="35">
        <f t="shared" si="2"/>
        <v>907500</v>
      </c>
      <c r="K28" s="64">
        <v>45292</v>
      </c>
      <c r="L28" s="64">
        <v>45901</v>
      </c>
      <c r="M28" s="58">
        <f>MAX(0,(YEAR(L28)-YEAR(MAX(K28,Inputs!$B$12)))*12+MONTH(L28)-MONTH(MAX(K28,Inputs!$B$12))+1)</f>
        <v>21</v>
      </c>
      <c r="N28" s="50" t="s">
        <v>336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67">
        <v>1</v>
      </c>
      <c r="Y28" s="67">
        <v>1</v>
      </c>
      <c r="Z28" s="67">
        <v>1</v>
      </c>
      <c r="AA28" s="67">
        <v>1</v>
      </c>
      <c r="AB28" s="67">
        <v>0</v>
      </c>
      <c r="AC28" s="67">
        <v>0</v>
      </c>
      <c r="AD28" s="67">
        <v>0</v>
      </c>
      <c r="AE28" s="67">
        <v>0</v>
      </c>
      <c r="AF28" s="67">
        <v>1</v>
      </c>
      <c r="AG28" s="70">
        <f t="shared" si="3"/>
        <v>0</v>
      </c>
      <c r="AH28" s="70">
        <f>Villas!$I$6*X28+Villas!$I$7*Y28+Villas!$I$8*Z28+Villas!$I$9*AA28+Villas!$I$10*AB28+Villas!$I$11*AC28+Villas!$I$12*AD28+Villas!$I$13*AE28+Villas!$I$14*AF28</f>
        <v>4948.47</v>
      </c>
      <c r="AI28" s="70">
        <f>Villas!$J$6*X28+Villas!$J$7*Y28+Villas!$J$8*Z28+Villas!$J$9*AA28+Villas!$J$10*AB28+Villas!$J$11*AC28+Villas!$J$12*AD28+Villas!$J$13*AE28+Villas!$J$14*AF28</f>
        <v>11808</v>
      </c>
      <c r="AJ28" s="70">
        <f>Villas!$K$6*X28+Villas!$K$7*Y28+Villas!$K$8*Z28+Villas!$K$9*AA28+Villas!$K$10*AB28+Villas!$K$11*AC28+Villas!$K$12*AD28+Villas!$K$13*AE28+Villas!$K$14*AF28</f>
        <v>11217713.053679582</v>
      </c>
      <c r="AK28" s="70">
        <f t="shared" si="4"/>
        <v>5</v>
      </c>
      <c r="AL28" s="70">
        <f t="shared" si="5"/>
        <v>4948.47</v>
      </c>
      <c r="AM28" s="73">
        <f>IFERROR(IF(E28="Direct",O28/$AL28,IF(E28="Building",Villas!$I6*X28/$AL28,IF(E28="Plot",Villas!$J6*X28/$AL28,IF(E28="Revenue",Villas!$K6*X28/$AL28,X28/$AL28)))),0)</f>
        <v>0.33996366553702462</v>
      </c>
      <c r="AN28" s="73">
        <f>IFERROR(IF(E28="Direct",P28/$AL28,IF(E28="Building",Villas!$I7*Y28/$AL28,IF(E28="Plot",Villas!$J7*Y28/$AL28,IF(E28="Revenue",Villas!$K7*Y28/$AL28,Y28/$AL28)))),0)</f>
        <v>0.19284748619270198</v>
      </c>
      <c r="AO28" s="73">
        <f>IFERROR(IF(E28="Direct",Q28/$AL28,IF(E28="Building",Villas!$I8*Z28/$AL28,IF(E28="Plot",Villas!$J8*Z28/$AL28,IF(E28="Revenue",Villas!$K8*Z28/$AL28,Z28/$AL28)))),0)</f>
        <v>0.24734715982919972</v>
      </c>
      <c r="AP28" s="73">
        <f>IFERROR(IF(E28="Direct",R28/$AL28,IF(E28="Building",Villas!$I9*AA28/$AL28,IF(E28="Plot",Villas!$J9*AA28/$AL28,IF(E28="Revenue",Villas!$K9*AA28/$AL28,AA28/$AL28)))),0)</f>
        <v>9.1498988576266996E-2</v>
      </c>
      <c r="AQ28" s="73">
        <f>IFERROR(IF(E28="Direct",S28/$AL28,IF(E28="Building",Villas!$I10*AB28/$AL28,IF(E28="Plot",Villas!$J10*AB28/$AL28,IF(E28="Revenue",Villas!$K10*AB28/$AL28,AB28/$AL28)))),0)</f>
        <v>0</v>
      </c>
      <c r="AR28" s="73">
        <f>IFERROR(IF(E28="Direct",T28/$AL28,IF(E28="Building",Villas!$I11*AC28/$AL28,IF(E28="Plot",Villas!$J11*AC28/$AL28,IF(E28="Revenue",Villas!$K11*AC28/$AL28,AC28/$AL28)))),0)</f>
        <v>0</v>
      </c>
      <c r="AS28" s="73">
        <f>IFERROR(IF(E28="Direct",U28/$AL28,IF(E28="Building",Villas!$I12*AD28/$AL28,IF(E28="Plot",Villas!$J12*AD28/$AL28,IF(E28="Revenue",Villas!$K12*AD28/$AL28,AD28/$AL28)))),0)</f>
        <v>0</v>
      </c>
      <c r="AT28" s="73">
        <f>IFERROR(IF(E28="Direct",V28/$AL28,IF(E28="Building",Villas!$I13*AE28/$AL28,IF(E28="Plot",Villas!$J13*AE28/$AL28,IF(E28="Revenue",Villas!$K13*AE28/$AL28,AE28/$AL28)))),0)</f>
        <v>0</v>
      </c>
      <c r="AU28" s="73">
        <f>IFERROR(IF(E28="Direct",W28/$AL28,IF(E28="Building",Villas!$I14*AF28/$AL28,IF(E28="Plot",Villas!$J14*AF28/$AL28,IF(E28="Revenue",Villas!$K14*AF28/$AL28,AF28/$AL28)))),0)</f>
        <v>0.1283426998648067</v>
      </c>
      <c r="AV28" s="73">
        <f>SUM(Development_Budget[[#This Row],[Horizon Ridge Top Weight]:[Kiri 3 Weight]])</f>
        <v>1</v>
      </c>
    </row>
    <row r="29" spans="1:48">
      <c r="A29" s="6" t="s">
        <v>337</v>
      </c>
      <c r="B29" s="6" t="s">
        <v>119</v>
      </c>
      <c r="C29" s="6" t="s">
        <v>119</v>
      </c>
      <c r="D29" s="21" t="s">
        <v>209</v>
      </c>
      <c r="E29" s="21" t="s">
        <v>302</v>
      </c>
      <c r="F29" s="34">
        <v>0</v>
      </c>
      <c r="G29" s="35">
        <f t="shared" si="6"/>
        <v>0</v>
      </c>
      <c r="H29" s="35">
        <f>SUMIFS(Outflows!$L$7:$L$163,Outflows!$H$7:$H$163,C29,Outflows!$B$7:$B$163,"&lt;="&amp;Inputs!$B$11)</f>
        <v>235.59980313311044</v>
      </c>
      <c r="I29" s="35">
        <f t="shared" si="1"/>
        <v>0</v>
      </c>
      <c r="J29" s="35">
        <f t="shared" si="2"/>
        <v>235.59980313311044</v>
      </c>
      <c r="K29" s="64">
        <v>45292</v>
      </c>
      <c r="L29" s="64">
        <v>45901</v>
      </c>
      <c r="M29" s="58">
        <f>MAX(0,(YEAR(L29)-YEAR(MAX(K29,Inputs!$B$12)))*12+MONTH(L29)-MONTH(MAX(K29,Inputs!$B$12))+1)</f>
        <v>21</v>
      </c>
      <c r="N29" s="50" t="s">
        <v>338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67">
        <v>1</v>
      </c>
      <c r="Y29" s="67">
        <v>1</v>
      </c>
      <c r="Z29" s="67">
        <v>1</v>
      </c>
      <c r="AA29" s="67">
        <v>1</v>
      </c>
      <c r="AB29" s="67">
        <v>0</v>
      </c>
      <c r="AC29" s="67">
        <v>0</v>
      </c>
      <c r="AD29" s="67">
        <v>0</v>
      </c>
      <c r="AE29" s="67">
        <v>0</v>
      </c>
      <c r="AF29" s="67">
        <v>1</v>
      </c>
      <c r="AG29" s="70">
        <f t="shared" si="3"/>
        <v>0</v>
      </c>
      <c r="AH29" s="70">
        <f>Villas!$I$6*X29+Villas!$I$7*Y29+Villas!$I$8*Z29+Villas!$I$9*AA29+Villas!$I$10*AB29+Villas!$I$11*AC29+Villas!$I$12*AD29+Villas!$I$13*AE29+Villas!$I$14*AF29</f>
        <v>4948.47</v>
      </c>
      <c r="AI29" s="70">
        <f>Villas!$J$6*X29+Villas!$J$7*Y29+Villas!$J$8*Z29+Villas!$J$9*AA29+Villas!$J$10*AB29+Villas!$J$11*AC29+Villas!$J$12*AD29+Villas!$J$13*AE29+Villas!$J$14*AF29</f>
        <v>11808</v>
      </c>
      <c r="AJ29" s="70">
        <f>Villas!$K$6*X29+Villas!$K$7*Y29+Villas!$K$8*Z29+Villas!$K$9*AA29+Villas!$K$10*AB29+Villas!$K$11*AC29+Villas!$K$12*AD29+Villas!$K$13*AE29+Villas!$K$14*AF29</f>
        <v>11217713.053679582</v>
      </c>
      <c r="AK29" s="70">
        <f t="shared" si="4"/>
        <v>5</v>
      </c>
      <c r="AL29" s="70">
        <f t="shared" si="5"/>
        <v>4948.47</v>
      </c>
      <c r="AM29" s="73">
        <f>IFERROR(IF(E29="Direct",O29/$AL29,IF(E29="Building",Villas!$I6*X29/$AL29,IF(E29="Plot",Villas!$J6*X29/$AL29,IF(E29="Revenue",Villas!$K6*X29/$AL29,X29/$AL29)))),0)</f>
        <v>0.33996366553702462</v>
      </c>
      <c r="AN29" s="73">
        <f>IFERROR(IF(E29="Direct",P29/$AL29,IF(E29="Building",Villas!$I7*Y29/$AL29,IF(E29="Plot",Villas!$J7*Y29/$AL29,IF(E29="Revenue",Villas!$K7*Y29/$AL29,Y29/$AL29)))),0)</f>
        <v>0.19284748619270198</v>
      </c>
      <c r="AO29" s="73">
        <f>IFERROR(IF(E29="Direct",Q29/$AL29,IF(E29="Building",Villas!$I8*Z29/$AL29,IF(E29="Plot",Villas!$J8*Z29/$AL29,IF(E29="Revenue",Villas!$K8*Z29/$AL29,Z29/$AL29)))),0)</f>
        <v>0.24734715982919972</v>
      </c>
      <c r="AP29" s="73">
        <f>IFERROR(IF(E29="Direct",R29/$AL29,IF(E29="Building",Villas!$I9*AA29/$AL29,IF(E29="Plot",Villas!$J9*AA29/$AL29,IF(E29="Revenue",Villas!$K9*AA29/$AL29,AA29/$AL29)))),0)</f>
        <v>9.1498988576266996E-2</v>
      </c>
      <c r="AQ29" s="73">
        <f>IFERROR(IF(E29="Direct",S29/$AL29,IF(E29="Building",Villas!$I10*AB29/$AL29,IF(E29="Plot",Villas!$J10*AB29/$AL29,IF(E29="Revenue",Villas!$K10*AB29/$AL29,AB29/$AL29)))),0)</f>
        <v>0</v>
      </c>
      <c r="AR29" s="73">
        <f>IFERROR(IF(E29="Direct",T29/$AL29,IF(E29="Building",Villas!$I11*AC29/$AL29,IF(E29="Plot",Villas!$J11*AC29/$AL29,IF(E29="Revenue",Villas!$K11*AC29/$AL29,AC29/$AL29)))),0)</f>
        <v>0</v>
      </c>
      <c r="AS29" s="73">
        <f>IFERROR(IF(E29="Direct",U29/$AL29,IF(E29="Building",Villas!$I12*AD29/$AL29,IF(E29="Plot",Villas!$J12*AD29/$AL29,IF(E29="Revenue",Villas!$K12*AD29/$AL29,AD29/$AL29)))),0)</f>
        <v>0</v>
      </c>
      <c r="AT29" s="73">
        <f>IFERROR(IF(E29="Direct",V29/$AL29,IF(E29="Building",Villas!$I13*AE29/$AL29,IF(E29="Plot",Villas!$J13*AE29/$AL29,IF(E29="Revenue",Villas!$K13*AE29/$AL29,AE29/$AL29)))),0)</f>
        <v>0</v>
      </c>
      <c r="AU29" s="73">
        <f>IFERROR(IF(E29="Direct",W29/$AL29,IF(E29="Building",Villas!$I14*AF29/$AL29,IF(E29="Plot",Villas!$J14*AF29/$AL29,IF(E29="Revenue",Villas!$K14*AF29/$AL29,AF29/$AL29)))),0)</f>
        <v>0.1283426998648067</v>
      </c>
      <c r="AV29" s="73">
        <f>SUM(Development_Budget[[#This Row],[Horizon Ridge Top Weight]:[Kiri 3 Weight]])</f>
        <v>1</v>
      </c>
    </row>
    <row r="30" spans="1:48">
      <c r="A30" s="6" t="s">
        <v>339</v>
      </c>
      <c r="B30" s="6" t="s">
        <v>120</v>
      </c>
      <c r="C30" s="6" t="s">
        <v>120</v>
      </c>
      <c r="D30" s="21" t="s">
        <v>209</v>
      </c>
      <c r="E30" s="21" t="s">
        <v>302</v>
      </c>
      <c r="F30" s="34">
        <v>0</v>
      </c>
      <c r="G30" s="35">
        <f>SUM(G7:G12)*Inputs!$B$8</f>
        <v>1192289.6073298</v>
      </c>
      <c r="H30" s="35">
        <f>SUMIFS(Outflows!$L$7:$L$163,Outflows!$H$7:$H$163,C30,Outflows!$B$7:$B$163,"&lt;="&amp;Inputs!$B$11)</f>
        <v>0</v>
      </c>
      <c r="I30" s="35">
        <f t="shared" si="1"/>
        <v>1192289.6073298</v>
      </c>
      <c r="J30" s="35">
        <f t="shared" si="2"/>
        <v>1192289.6073298</v>
      </c>
      <c r="K30" s="64">
        <v>45323</v>
      </c>
      <c r="L30" s="64">
        <v>45839</v>
      </c>
      <c r="M30" s="58">
        <f>MAX(0,(YEAR(L30)-YEAR(MAX(K30,Inputs!$B$12)))*12+MONTH(L30)-MONTH(MAX(K30,Inputs!$B$12))+1)</f>
        <v>18</v>
      </c>
      <c r="N30" s="50" t="s">
        <v>340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67">
        <v>1</v>
      </c>
      <c r="Y30" s="67">
        <v>1</v>
      </c>
      <c r="Z30" s="67">
        <v>1</v>
      </c>
      <c r="AA30" s="67">
        <v>1</v>
      </c>
      <c r="AB30" s="67">
        <v>0</v>
      </c>
      <c r="AC30" s="67">
        <v>0</v>
      </c>
      <c r="AD30" s="67">
        <v>0</v>
      </c>
      <c r="AE30" s="67">
        <v>0</v>
      </c>
      <c r="AF30" s="67">
        <v>1</v>
      </c>
      <c r="AG30" s="70">
        <f t="shared" si="3"/>
        <v>0</v>
      </c>
      <c r="AH30" s="70">
        <f>Villas!$I$6*X30+Villas!$I$7*Y30+Villas!$I$8*Z30+Villas!$I$9*AA30+Villas!$I$10*AB30+Villas!$I$11*AC30+Villas!$I$12*AD30+Villas!$I$13*AE30+Villas!$I$14*AF30</f>
        <v>4948.47</v>
      </c>
      <c r="AI30" s="70">
        <f>Villas!$J$6*X30+Villas!$J$7*Y30+Villas!$J$8*Z30+Villas!$J$9*AA30+Villas!$J$10*AB30+Villas!$J$11*AC30+Villas!$J$12*AD30+Villas!$J$13*AE30+Villas!$J$14*AF30</f>
        <v>11808</v>
      </c>
      <c r="AJ30" s="70">
        <f>Villas!$K$6*X30+Villas!$K$7*Y30+Villas!$K$8*Z30+Villas!$K$9*AA30+Villas!$K$10*AB30+Villas!$K$11*AC30+Villas!$K$12*AD30+Villas!$K$13*AE30+Villas!$K$14*AF30</f>
        <v>11217713.053679582</v>
      </c>
      <c r="AK30" s="70">
        <f t="shared" si="4"/>
        <v>5</v>
      </c>
      <c r="AL30" s="70">
        <f t="shared" si="5"/>
        <v>4948.47</v>
      </c>
      <c r="AM30" s="73">
        <f>IFERROR(IF(E30="Direct",O30/$AL30,IF(E30="Building",Villas!$I6*X30/$AL30,IF(E30="Plot",Villas!$J6*X30/$AL30,IF(E30="Revenue",Villas!$K6*X30/$AL30,X30/$AL30)))),0)</f>
        <v>0.33996366553702462</v>
      </c>
      <c r="AN30" s="73">
        <f>IFERROR(IF(E30="Direct",P30/$AL30,IF(E30="Building",Villas!$I7*Y30/$AL30,IF(E30="Plot",Villas!$J7*Y30/$AL30,IF(E30="Revenue",Villas!$K7*Y30/$AL30,Y30/$AL30)))),0)</f>
        <v>0.19284748619270198</v>
      </c>
      <c r="AO30" s="73">
        <f>IFERROR(IF(E30="Direct",Q30/$AL30,IF(E30="Building",Villas!$I8*Z30/$AL30,IF(E30="Plot",Villas!$J8*Z30/$AL30,IF(E30="Revenue",Villas!$K8*Z30/$AL30,Z30/$AL30)))),0)</f>
        <v>0.24734715982919972</v>
      </c>
      <c r="AP30" s="73">
        <f>IFERROR(IF(E30="Direct",R30/$AL30,IF(E30="Building",Villas!$I9*AA30/$AL30,IF(E30="Plot",Villas!$J9*AA30/$AL30,IF(E30="Revenue",Villas!$K9*AA30/$AL30,AA30/$AL30)))),0)</f>
        <v>9.1498988576266996E-2</v>
      </c>
      <c r="AQ30" s="73">
        <f>IFERROR(IF(E30="Direct",S30/$AL30,IF(E30="Building",Villas!$I10*AB30/$AL30,IF(E30="Plot",Villas!$J10*AB30/$AL30,IF(E30="Revenue",Villas!$K10*AB30/$AL30,AB30/$AL30)))),0)</f>
        <v>0</v>
      </c>
      <c r="AR30" s="73">
        <f>IFERROR(IF(E30="Direct",T30/$AL30,IF(E30="Building",Villas!$I11*AC30/$AL30,IF(E30="Plot",Villas!$J11*AC30/$AL30,IF(E30="Revenue",Villas!$K11*AC30/$AL30,AC30/$AL30)))),0)</f>
        <v>0</v>
      </c>
      <c r="AS30" s="73">
        <f>IFERROR(IF(E30="Direct",U30/$AL30,IF(E30="Building",Villas!$I12*AD30/$AL30,IF(E30="Plot",Villas!$J12*AD30/$AL30,IF(E30="Revenue",Villas!$K12*AD30/$AL30,AD30/$AL30)))),0)</f>
        <v>0</v>
      </c>
      <c r="AT30" s="73">
        <f>IFERROR(IF(E30="Direct",V30/$AL30,IF(E30="Building",Villas!$I13*AE30/$AL30,IF(E30="Plot",Villas!$J13*AE30/$AL30,IF(E30="Revenue",Villas!$K13*AE30/$AL30,AE30/$AL30)))),0)</f>
        <v>0</v>
      </c>
      <c r="AU30" s="73">
        <f>IFERROR(IF(E30="Direct",W30/$AL30,IF(E30="Building",Villas!$I14*AF30/$AL30,IF(E30="Plot",Villas!$J14*AF30/$AL30,IF(E30="Revenue",Villas!$K14*AF30/$AL30,AF30/$AL30)))),0)</f>
        <v>0.1283426998648067</v>
      </c>
      <c r="AV30" s="73">
        <f>SUM(Development_Budget[[#This Row],[Horizon Ridge Top Weight]:[Kiri 3 Weight]])</f>
        <v>1</v>
      </c>
    </row>
    <row r="31" spans="1:48">
      <c r="A31" s="6" t="s">
        <v>341</v>
      </c>
      <c r="B31" s="6" t="s">
        <v>117</v>
      </c>
      <c r="C31" s="6" t="s">
        <v>342</v>
      </c>
      <c r="D31" s="21" t="s">
        <v>209</v>
      </c>
      <c r="E31" s="21" t="s">
        <v>285</v>
      </c>
      <c r="F31" s="34">
        <v>0</v>
      </c>
      <c r="G31" s="35">
        <f>SUM(O31:W31)</f>
        <v>559813.33333299996</v>
      </c>
      <c r="H31" s="35">
        <f>SUMIFS(Outflows!$L$7:$L$163,Outflows!$H$7:$H$163,C31,Outflows!$B$7:$B$163,"&lt;="&amp;Inputs!$B$11)</f>
        <v>0</v>
      </c>
      <c r="I31" s="35">
        <f t="shared" si="1"/>
        <v>559813.33333299996</v>
      </c>
      <c r="J31" s="35">
        <f t="shared" si="2"/>
        <v>559813.33333299996</v>
      </c>
      <c r="K31" s="64">
        <v>45505</v>
      </c>
      <c r="L31" s="64">
        <v>45809</v>
      </c>
      <c r="M31" s="58">
        <f>MAX(0,(YEAR(L31)-YEAR(MAX(K31,Inputs!$B$12)))*12+MONTH(L31)-MONTH(MAX(K31,Inputs!$B$12))+1)</f>
        <v>11</v>
      </c>
      <c r="N31" s="50" t="s">
        <v>343</v>
      </c>
      <c r="O31" s="34">
        <v>142688</v>
      </c>
      <c r="P31" s="34">
        <v>105074.666667</v>
      </c>
      <c r="Q31" s="34">
        <v>141353.33333299999</v>
      </c>
      <c r="R31" s="34">
        <v>77868</v>
      </c>
      <c r="S31" s="34">
        <v>0</v>
      </c>
      <c r="T31" s="34">
        <v>0</v>
      </c>
      <c r="U31" s="34">
        <v>0</v>
      </c>
      <c r="V31" s="34">
        <v>0</v>
      </c>
      <c r="W31" s="34">
        <v>92829.333333000002</v>
      </c>
      <c r="X31" s="67">
        <v>1</v>
      </c>
      <c r="Y31" s="67">
        <v>1</v>
      </c>
      <c r="Z31" s="67">
        <v>1</v>
      </c>
      <c r="AA31" s="67">
        <v>1</v>
      </c>
      <c r="AB31" s="67">
        <v>0</v>
      </c>
      <c r="AC31" s="67">
        <v>0</v>
      </c>
      <c r="AD31" s="67">
        <v>0</v>
      </c>
      <c r="AE31" s="67">
        <v>0</v>
      </c>
      <c r="AF31" s="67">
        <v>1</v>
      </c>
      <c r="AG31" s="70">
        <f t="shared" si="3"/>
        <v>559813.33333299996</v>
      </c>
      <c r="AH31" s="70">
        <f>Villas!$I$6*X31+Villas!$I$7*Y31+Villas!$I$8*Z31+Villas!$I$9*AA31+Villas!$I$10*AB31+Villas!$I$11*AC31+Villas!$I$12*AD31+Villas!$I$13*AE31+Villas!$I$14*AF31</f>
        <v>4948.47</v>
      </c>
      <c r="AI31" s="70">
        <f>Villas!$J$6*X31+Villas!$J$7*Y31+Villas!$J$8*Z31+Villas!$J$9*AA31+Villas!$J$10*AB31+Villas!$J$11*AC31+Villas!$J$12*AD31+Villas!$J$13*AE31+Villas!$J$14*AF31</f>
        <v>11808</v>
      </c>
      <c r="AJ31" s="70">
        <f>Villas!$K$6*X31+Villas!$K$7*Y31+Villas!$K$8*Z31+Villas!$K$9*AA31+Villas!$K$10*AB31+Villas!$K$11*AC31+Villas!$K$12*AD31+Villas!$K$13*AE31+Villas!$K$14*AF31</f>
        <v>11217713.053679582</v>
      </c>
      <c r="AK31" s="70">
        <f t="shared" si="4"/>
        <v>5</v>
      </c>
      <c r="AL31" s="70">
        <f t="shared" si="5"/>
        <v>559813.33333299996</v>
      </c>
      <c r="AM31" s="73">
        <f>IFERROR(IF(E31="Direct",O31/$AL31,IF(E31="Building",Villas!$I6*X31/$AL31,IF(E31="Plot",Villas!$J6*X31/$AL31,IF(E31="Revenue",Villas!$K6*X31/$AL31,X31/$AL31)))),0)</f>
        <v>0.2548849616540364</v>
      </c>
      <c r="AN31" s="73">
        <f>IFERROR(IF(E31="Direct",P31/$AL31,IF(E31="Building",Villas!$I7*Y31/$AL31,IF(E31="Plot",Villas!$J7*Y31/$AL31,IF(E31="Revenue",Villas!$K7*Y31/$AL31,Y31/$AL31)))),0)</f>
        <v>0.18769589863358482</v>
      </c>
      <c r="AO31" s="73">
        <f>IFERROR(IF(E31="Direct",Q31/$AL31,IF(E31="Building",Villas!$I8*Z31/$AL31,IF(E31="Plot",Villas!$J8*Z31/$AL31,IF(E31="Revenue",Villas!$K8*Z31/$AL31,Z31/$AL31)))),0)</f>
        <v>0.25250083361075865</v>
      </c>
      <c r="AP31" s="73">
        <f>IFERROR(IF(E31="Direct",R31/$AL31,IF(E31="Building",Villas!$I9*AA31/$AL31,IF(E31="Plot",Villas!$J9*AA31/$AL31,IF(E31="Revenue",Villas!$K9*AA31/$AL31,AA31/$AL31)))),0)</f>
        <v>0.13909636545523454</v>
      </c>
      <c r="AQ31" s="73">
        <f>IFERROR(IF(E31="Direct",S31/$AL31,IF(E31="Building",Villas!$I10*AB31/$AL31,IF(E31="Plot",Villas!$J10*AB31/$AL31,IF(E31="Revenue",Villas!$K10*AB31/$AL31,AB31/$AL31)))),0)</f>
        <v>0</v>
      </c>
      <c r="AR31" s="73">
        <f>IFERROR(IF(E31="Direct",T31/$AL31,IF(E31="Building",Villas!$I11*AC31/$AL31,IF(E31="Plot",Villas!$J11*AC31/$AL31,IF(E31="Revenue",Villas!$K11*AC31/$AL31,AC31/$AL31)))),0)</f>
        <v>0</v>
      </c>
      <c r="AS31" s="73">
        <f>IFERROR(IF(E31="Direct",U31/$AL31,IF(E31="Building",Villas!$I12*AD31/$AL31,IF(E31="Plot",Villas!$J12*AD31/$AL31,IF(E31="Revenue",Villas!$K12*AD31/$AL31,AD31/$AL31)))),0)</f>
        <v>0</v>
      </c>
      <c r="AT31" s="73">
        <f>IFERROR(IF(E31="Direct",V31/$AL31,IF(E31="Building",Villas!$I13*AE31/$AL31,IF(E31="Plot",Villas!$J13*AE31/$AL31,IF(E31="Revenue",Villas!$K13*AE31/$AL31,AE31/$AL31)))),0)</f>
        <v>0</v>
      </c>
      <c r="AU31" s="73">
        <f>IFERROR(IF(E31="Direct",W31/$AL31,IF(E31="Building",Villas!$I14*AF31/$AL31,IF(E31="Plot",Villas!$J14*AF31/$AL31,IF(E31="Revenue",Villas!$K14*AF31/$AL31,AF31/$AL31)))),0)</f>
        <v>0.16582194064638561</v>
      </c>
      <c r="AV31" s="73">
        <f>SUM(Development_Budget[[#This Row],[Horizon Ridge Top Weight]:[Kiri 3 Weight]])</f>
        <v>1</v>
      </c>
    </row>
    <row r="32" spans="1:48">
      <c r="A32" s="6" t="s">
        <v>344</v>
      </c>
      <c r="B32" s="6" t="s">
        <v>121</v>
      </c>
      <c r="C32" s="6" t="s">
        <v>345</v>
      </c>
      <c r="D32" s="21" t="s">
        <v>209</v>
      </c>
      <c r="E32" s="21" t="s">
        <v>317</v>
      </c>
      <c r="F32" s="34">
        <v>177120</v>
      </c>
      <c r="G32" s="35">
        <f>F32</f>
        <v>177120</v>
      </c>
      <c r="H32" s="35">
        <f>SUMIFS(Outflows!$L$7:$L$163,Outflows!$H$7:$H$163,C32,Outflows!$B$7:$B$163,"&lt;="&amp;Inputs!$B$11)</f>
        <v>0</v>
      </c>
      <c r="I32" s="35">
        <f t="shared" si="1"/>
        <v>177120</v>
      </c>
      <c r="J32" s="35">
        <f t="shared" si="2"/>
        <v>177120</v>
      </c>
      <c r="K32" s="64">
        <v>45992</v>
      </c>
      <c r="L32" s="64">
        <v>45992</v>
      </c>
      <c r="M32" s="58">
        <f>MAX(0,(YEAR(L32)-YEAR(MAX(K32,Inputs!$B$12)))*12+MONTH(L32)-MONTH(MAX(K32,Inputs!$B$12))+1)</f>
        <v>1</v>
      </c>
      <c r="N32" s="50" t="s">
        <v>346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67">
        <v>1</v>
      </c>
      <c r="Y32" s="67">
        <v>1</v>
      </c>
      <c r="Z32" s="67">
        <v>1</v>
      </c>
      <c r="AA32" s="67">
        <v>1</v>
      </c>
      <c r="AB32" s="67">
        <v>0</v>
      </c>
      <c r="AC32" s="67">
        <v>0</v>
      </c>
      <c r="AD32" s="67">
        <v>0</v>
      </c>
      <c r="AE32" s="67">
        <v>0</v>
      </c>
      <c r="AF32" s="67">
        <v>1</v>
      </c>
      <c r="AG32" s="70">
        <f t="shared" si="3"/>
        <v>0</v>
      </c>
      <c r="AH32" s="70">
        <f>Villas!$I$6*X32+Villas!$I$7*Y32+Villas!$I$8*Z32+Villas!$I$9*AA32+Villas!$I$10*AB32+Villas!$I$11*AC32+Villas!$I$12*AD32+Villas!$I$13*AE32+Villas!$I$14*AF32</f>
        <v>4948.47</v>
      </c>
      <c r="AI32" s="70">
        <f>Villas!$J$6*X32+Villas!$J$7*Y32+Villas!$J$8*Z32+Villas!$J$9*AA32+Villas!$J$10*AB32+Villas!$J$11*AC32+Villas!$J$12*AD32+Villas!$J$13*AE32+Villas!$J$14*AF32</f>
        <v>11808</v>
      </c>
      <c r="AJ32" s="70">
        <f>Villas!$K$6*X32+Villas!$K$7*Y32+Villas!$K$8*Z32+Villas!$K$9*AA32+Villas!$K$10*AB32+Villas!$K$11*AC32+Villas!$K$12*AD32+Villas!$K$13*AE32+Villas!$K$14*AF32</f>
        <v>11217713.053679582</v>
      </c>
      <c r="AK32" s="70">
        <f t="shared" si="4"/>
        <v>5</v>
      </c>
      <c r="AL32" s="70">
        <f t="shared" si="5"/>
        <v>11808</v>
      </c>
      <c r="AM32" s="73">
        <f>IFERROR(IF(E32="Direct",O32/$AL32,IF(E32="Building",Villas!$I6*X32/$AL32,IF(E32="Plot",Villas!$J6*X32/$AL32,IF(E32="Revenue",Villas!$K6*X32/$AL32,X32/$AL32)))),0)</f>
        <v>0.39151422764227645</v>
      </c>
      <c r="AN32" s="73">
        <f>IFERROR(IF(E32="Direct",P32/$AL32,IF(E32="Building",Villas!$I7*Y32/$AL32,IF(E32="Plot",Villas!$J7*Y32/$AL32,IF(E32="Revenue",Villas!$K7*Y32/$AL32,Y32/$AL32)))),0)</f>
        <v>0.16988482384823847</v>
      </c>
      <c r="AO32" s="73">
        <f>IFERROR(IF(E32="Direct",Q32/$AL32,IF(E32="Building",Villas!$I8*Z32/$AL32,IF(E32="Plot",Villas!$J8*Z32/$AL32,IF(E32="Revenue",Villas!$K8*Z32/$AL32,Z32/$AL32)))),0)</f>
        <v>0.23551829268292682</v>
      </c>
      <c r="AP32" s="73">
        <f>IFERROR(IF(E32="Direct",R32/$AL32,IF(E32="Building",Villas!$I9*AA32/$AL32,IF(E32="Plot",Villas!$J9*AA32/$AL32,IF(E32="Revenue",Villas!$K9*AA32/$AL32,AA32/$AL32)))),0)</f>
        <v>0.11619241192411923</v>
      </c>
      <c r="AQ32" s="73">
        <f>IFERROR(IF(E32="Direct",S32/$AL32,IF(E32="Building",Villas!$I10*AB32/$AL32,IF(E32="Plot",Villas!$J10*AB32/$AL32,IF(E32="Revenue",Villas!$K10*AB32/$AL32,AB32/$AL32)))),0)</f>
        <v>0</v>
      </c>
      <c r="AR32" s="73">
        <f>IFERROR(IF(E32="Direct",T32/$AL32,IF(E32="Building",Villas!$I11*AC32/$AL32,IF(E32="Plot",Villas!$J11*AC32/$AL32,IF(E32="Revenue",Villas!$K11*AC32/$AL32,AC32/$AL32)))),0)</f>
        <v>0</v>
      </c>
      <c r="AS32" s="73">
        <f>IFERROR(IF(E32="Direct",U32/$AL32,IF(E32="Building",Villas!$I12*AD32/$AL32,IF(E32="Plot",Villas!$J12*AD32/$AL32,IF(E32="Revenue",Villas!$K12*AD32/$AL32,AD32/$AL32)))),0)</f>
        <v>0</v>
      </c>
      <c r="AT32" s="73">
        <f>IFERROR(IF(E32="Direct",V32/$AL32,IF(E32="Building",Villas!$I13*AE32/$AL32,IF(E32="Plot",Villas!$J13*AE32/$AL32,IF(E32="Revenue",Villas!$K13*AE32/$AL32,AE32/$AL32)))),0)</f>
        <v>0</v>
      </c>
      <c r="AU32" s="73">
        <f>IFERROR(IF(E32="Direct",W32/$AL32,IF(E32="Building",Villas!$I14*AF32/$AL32,IF(E32="Plot",Villas!$J14*AF32/$AL32,IF(E32="Revenue",Villas!$K14*AF32/$AL32,AF32/$AL32)))),0)</f>
        <v>8.6890243902439018E-2</v>
      </c>
      <c r="AV32" s="73">
        <f>SUM(Development_Budget[[#This Row],[Horizon Ridge Top Weight]:[Kiri 3 Weight]])</f>
        <v>1</v>
      </c>
    </row>
    <row r="33" spans="1:48">
      <c r="A33" s="6" t="s">
        <v>347</v>
      </c>
      <c r="B33" s="6" t="s">
        <v>122</v>
      </c>
      <c r="C33" s="6" t="s">
        <v>348</v>
      </c>
      <c r="D33" s="21" t="s">
        <v>209</v>
      </c>
      <c r="E33" s="21" t="s">
        <v>142</v>
      </c>
      <c r="F33" s="34">
        <v>0</v>
      </c>
      <c r="G33" s="35">
        <f>SUM(Villas!$K$6:$K$14)*Inputs!$B$9</f>
        <v>280442.82634198957</v>
      </c>
      <c r="H33" s="35">
        <f>SUMIFS(Outflows!$L$7:$L$163,Outflows!$H$7:$H$163,C33,Outflows!$B$7:$B$163,"&lt;="&amp;Inputs!$B$11)</f>
        <v>0</v>
      </c>
      <c r="I33" s="35">
        <f t="shared" si="1"/>
        <v>280442.82634198957</v>
      </c>
      <c r="J33" s="35">
        <f t="shared" si="2"/>
        <v>280442.82634198957</v>
      </c>
      <c r="K33" s="64">
        <v>45992</v>
      </c>
      <c r="L33" s="64">
        <v>45992</v>
      </c>
      <c r="M33" s="58">
        <f>MAX(0,(YEAR(L33)-YEAR(MAX(K33,Inputs!$B$12)))*12+MONTH(L33)-MONTH(MAX(K33,Inputs!$B$12))+1)</f>
        <v>1</v>
      </c>
      <c r="N33" s="50" t="s">
        <v>349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67">
        <v>1</v>
      </c>
      <c r="Y33" s="67">
        <v>1</v>
      </c>
      <c r="Z33" s="67">
        <v>1</v>
      </c>
      <c r="AA33" s="67">
        <v>1</v>
      </c>
      <c r="AB33" s="67">
        <v>0</v>
      </c>
      <c r="AC33" s="67">
        <v>0</v>
      </c>
      <c r="AD33" s="67">
        <v>0</v>
      </c>
      <c r="AE33" s="67">
        <v>0</v>
      </c>
      <c r="AF33" s="67">
        <v>1</v>
      </c>
      <c r="AG33" s="70">
        <f t="shared" si="3"/>
        <v>0</v>
      </c>
      <c r="AH33" s="70">
        <f>Villas!$I$6*X33+Villas!$I$7*Y33+Villas!$I$8*Z33+Villas!$I$9*AA33+Villas!$I$10*AB33+Villas!$I$11*AC33+Villas!$I$12*AD33+Villas!$I$13*AE33+Villas!$I$14*AF33</f>
        <v>4948.47</v>
      </c>
      <c r="AI33" s="70">
        <f>Villas!$J$6*X33+Villas!$J$7*Y33+Villas!$J$8*Z33+Villas!$J$9*AA33+Villas!$J$10*AB33+Villas!$J$11*AC33+Villas!$J$12*AD33+Villas!$J$13*AE33+Villas!$J$14*AF33</f>
        <v>11808</v>
      </c>
      <c r="AJ33" s="70">
        <f>Villas!$K$6*X33+Villas!$K$7*Y33+Villas!$K$8*Z33+Villas!$K$9*AA33+Villas!$K$10*AB33+Villas!$K$11*AC33+Villas!$K$12*AD33+Villas!$K$13*AE33+Villas!$K$14*AF33</f>
        <v>11217713.053679582</v>
      </c>
      <c r="AK33" s="70">
        <f t="shared" si="4"/>
        <v>5</v>
      </c>
      <c r="AL33" s="70">
        <f t="shared" si="5"/>
        <v>11217713.053679582</v>
      </c>
      <c r="AM33" s="73">
        <f>IFERROR(IF(E33="Direct",O33/$AL33,IF(E33="Building",Villas!$I6*X33/$AL33,IF(E33="Plot",Villas!$J6*X33/$AL33,IF(E33="Revenue",Villas!$K6*X33/$AL33,X33/$AL33)))),0)</f>
        <v>0.24960524365361236</v>
      </c>
      <c r="AN33" s="73">
        <f>IFERROR(IF(E33="Direct",P33/$AL33,IF(E33="Building",Villas!$I7*Y33/$AL33,IF(E33="Plot",Villas!$J7*Y33/$AL33,IF(E33="Revenue",Villas!$K7*Y33/$AL33,Y33/$AL33)))),0)</f>
        <v>0.26480460317223131</v>
      </c>
      <c r="AO33" s="73">
        <f>IFERROR(IF(E33="Direct",Q33/$AL33,IF(E33="Building",Villas!$I8*Z33/$AL33,IF(E33="Plot",Villas!$J8*Z33/$AL33,IF(E33="Revenue",Villas!$K8*Z33/$AL33,Z33/$AL33)))),0)</f>
        <v>0.23623353417216886</v>
      </c>
      <c r="AP33" s="73">
        <f>IFERROR(IF(E33="Direct",R33/$AL33,IF(E33="Building",Villas!$I9*AA33/$AL33,IF(E33="Plot",Villas!$J9*AA33/$AL33,IF(E33="Revenue",Villas!$K9*AA33/$AL33,AA33/$AL33)))),0)</f>
        <v>7.1315783901032104E-2</v>
      </c>
      <c r="AQ33" s="73">
        <f>IFERROR(IF(E33="Direct",S33/$AL33,IF(E33="Building",Villas!$I10*AB33/$AL33,IF(E33="Plot",Villas!$J10*AB33/$AL33,IF(E33="Revenue",Villas!$K10*AB33/$AL33,AB33/$AL33)))),0)</f>
        <v>0</v>
      </c>
      <c r="AR33" s="73">
        <f>IFERROR(IF(E33="Direct",T33/$AL33,IF(E33="Building",Villas!$I11*AC33/$AL33,IF(E33="Plot",Villas!$J11*AC33/$AL33,IF(E33="Revenue",Villas!$K11*AC33/$AL33,AC33/$AL33)))),0)</f>
        <v>0</v>
      </c>
      <c r="AS33" s="73">
        <f>IFERROR(IF(E33="Direct",U33/$AL33,IF(E33="Building",Villas!$I12*AD33/$AL33,IF(E33="Plot",Villas!$J12*AD33/$AL33,IF(E33="Revenue",Villas!$K12*AD33/$AL33,AD33/$AL33)))),0)</f>
        <v>0</v>
      </c>
      <c r="AT33" s="73">
        <f>IFERROR(IF(E33="Direct",V33/$AL33,IF(E33="Building",Villas!$I13*AE33/$AL33,IF(E33="Plot",Villas!$J13*AE33/$AL33,IF(E33="Revenue",Villas!$K13*AE33/$AL33,AE33/$AL33)))),0)</f>
        <v>0</v>
      </c>
      <c r="AU33" s="73">
        <f>IFERROR(IF(E33="Direct",W33/$AL33,IF(E33="Building",Villas!$I14*AF33/$AL33,IF(E33="Plot",Villas!$J14*AF33/$AL33,IF(E33="Revenue",Villas!$K14*AF33/$AL33,AF33/$AL33)))),0)</f>
        <v>0.17804083510095528</v>
      </c>
      <c r="AV33" s="73">
        <f>SUM(Development_Budget[[#This Row],[Horizon Ridge Top Weight]:[Kiri 3 Weight]])</f>
        <v>0.99999999999999989</v>
      </c>
    </row>
    <row r="34" spans="1:48">
      <c r="A34" s="6" t="s">
        <v>350</v>
      </c>
      <c r="B34" s="6" t="s">
        <v>351</v>
      </c>
      <c r="C34" s="6" t="s">
        <v>352</v>
      </c>
      <c r="D34" s="21" t="s">
        <v>218</v>
      </c>
      <c r="E34" s="21" t="s">
        <v>142</v>
      </c>
      <c r="F34" s="34">
        <v>0</v>
      </c>
      <c r="G34" s="35">
        <f>SUM(Villas!$K$6:$K$14)*Inputs!$B$7</f>
        <v>1233948.4359047541</v>
      </c>
      <c r="H34" s="35">
        <f>SUMIFS(Outflows!$L$7:$L$163,Outflows!$H$7:$H$163,C34,Outflows!$B$7:$B$163,"&lt;="&amp;Inputs!$B$11)</f>
        <v>43907.050856459966</v>
      </c>
      <c r="I34" s="35">
        <f t="shared" si="1"/>
        <v>1190041.3850482942</v>
      </c>
      <c r="J34" s="35">
        <f t="shared" si="2"/>
        <v>1233948.4359047541</v>
      </c>
      <c r="K34" s="64">
        <v>45292</v>
      </c>
      <c r="L34" s="64">
        <v>45839</v>
      </c>
      <c r="M34" s="58">
        <f>MAX(0,(YEAR(L34)-YEAR(MAX(K34,Inputs!$B$12)))*12+MONTH(L34)-MONTH(MAX(K34,Inputs!$B$12))+1)</f>
        <v>19</v>
      </c>
      <c r="N34" s="50" t="s">
        <v>353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67">
        <v>1</v>
      </c>
      <c r="Y34" s="67">
        <v>1</v>
      </c>
      <c r="Z34" s="67">
        <v>1</v>
      </c>
      <c r="AA34" s="67">
        <v>1</v>
      </c>
      <c r="AB34" s="67">
        <v>0</v>
      </c>
      <c r="AC34" s="67">
        <v>0</v>
      </c>
      <c r="AD34" s="67">
        <v>0</v>
      </c>
      <c r="AE34" s="67">
        <v>0</v>
      </c>
      <c r="AF34" s="67">
        <v>1</v>
      </c>
      <c r="AG34" s="70">
        <f t="shared" si="3"/>
        <v>0</v>
      </c>
      <c r="AH34" s="70">
        <f>Villas!$I$6*X34+Villas!$I$7*Y34+Villas!$I$8*Z34+Villas!$I$9*AA34+Villas!$I$10*AB34+Villas!$I$11*AC34+Villas!$I$12*AD34+Villas!$I$13*AE34+Villas!$I$14*AF34</f>
        <v>4948.47</v>
      </c>
      <c r="AI34" s="70">
        <f>Villas!$J$6*X34+Villas!$J$7*Y34+Villas!$J$8*Z34+Villas!$J$9*AA34+Villas!$J$10*AB34+Villas!$J$11*AC34+Villas!$J$12*AD34+Villas!$J$13*AE34+Villas!$J$14*AF34</f>
        <v>11808</v>
      </c>
      <c r="AJ34" s="70">
        <f>Villas!$K$6*X34+Villas!$K$7*Y34+Villas!$K$8*Z34+Villas!$K$9*AA34+Villas!$K$10*AB34+Villas!$K$11*AC34+Villas!$K$12*AD34+Villas!$K$13*AE34+Villas!$K$14*AF34</f>
        <v>11217713.053679582</v>
      </c>
      <c r="AK34" s="70">
        <f t="shared" si="4"/>
        <v>5</v>
      </c>
      <c r="AL34" s="70">
        <f t="shared" si="5"/>
        <v>11217713.053679582</v>
      </c>
      <c r="AM34" s="73">
        <f>IFERROR(IF(E34="Direct",O34/$AL34,IF(E34="Building",Villas!$I6*X34/$AL34,IF(E34="Plot",Villas!$J6*X34/$AL34,IF(E34="Revenue",Villas!$K6*X34/$AL34,X34/$AL34)))),0)</f>
        <v>0.24960524365361236</v>
      </c>
      <c r="AN34" s="73">
        <f>IFERROR(IF(E34="Direct",P34/$AL34,IF(E34="Building",Villas!$I7*Y34/$AL34,IF(E34="Plot",Villas!$J7*Y34/$AL34,IF(E34="Revenue",Villas!$K7*Y34/$AL34,Y34/$AL34)))),0)</f>
        <v>0.26480460317223131</v>
      </c>
      <c r="AO34" s="73">
        <f>IFERROR(IF(E34="Direct",Q34/$AL34,IF(E34="Building",Villas!$I8*Z34/$AL34,IF(E34="Plot",Villas!$J8*Z34/$AL34,IF(E34="Revenue",Villas!$K8*Z34/$AL34,Z34/$AL34)))),0)</f>
        <v>0.23623353417216886</v>
      </c>
      <c r="AP34" s="73">
        <f>IFERROR(IF(E34="Direct",R34/$AL34,IF(E34="Building",Villas!$I9*AA34/$AL34,IF(E34="Plot",Villas!$J9*AA34/$AL34,IF(E34="Revenue",Villas!$K9*AA34/$AL34,AA34/$AL34)))),0)</f>
        <v>7.1315783901032104E-2</v>
      </c>
      <c r="AQ34" s="73">
        <f>IFERROR(IF(E34="Direct",S34/$AL34,IF(E34="Building",Villas!$I10*AB34/$AL34,IF(E34="Plot",Villas!$J10*AB34/$AL34,IF(E34="Revenue",Villas!$K10*AB34/$AL34,AB34/$AL34)))),0)</f>
        <v>0</v>
      </c>
      <c r="AR34" s="73">
        <f>IFERROR(IF(E34="Direct",T34/$AL34,IF(E34="Building",Villas!$I11*AC34/$AL34,IF(E34="Plot",Villas!$J11*AC34/$AL34,IF(E34="Revenue",Villas!$K11*AC34/$AL34,AC34/$AL34)))),0)</f>
        <v>0</v>
      </c>
      <c r="AS34" s="73">
        <f>IFERROR(IF(E34="Direct",U34/$AL34,IF(E34="Building",Villas!$I12*AD34/$AL34,IF(E34="Plot",Villas!$J12*AD34/$AL34,IF(E34="Revenue",Villas!$K12*AD34/$AL34,AD34/$AL34)))),0)</f>
        <v>0</v>
      </c>
      <c r="AT34" s="73">
        <f>IFERROR(IF(E34="Direct",V34/$AL34,IF(E34="Building",Villas!$I13*AE34/$AL34,IF(E34="Plot",Villas!$J13*AE34/$AL34,IF(E34="Revenue",Villas!$K13*AE34/$AL34,AE34/$AL34)))),0)</f>
        <v>0</v>
      </c>
      <c r="AU34" s="73">
        <f>IFERROR(IF(E34="Direct",W34/$AL34,IF(E34="Building",Villas!$I14*AF34/$AL34,IF(E34="Plot",Villas!$J14*AF34/$AL34,IF(E34="Revenue",Villas!$K14*AF34/$AL34,AF34/$AL34)))),0)</f>
        <v>0.17804083510095528</v>
      </c>
      <c r="AV34" s="73">
        <f>SUM(Development_Budget[[#This Row],[Horizon Ridge Top Weight]:[Kiri 3 Weight]])</f>
        <v>0.99999999999999989</v>
      </c>
    </row>
    <row r="35" spans="1:48">
      <c r="A35" s="6" t="s">
        <v>354</v>
      </c>
      <c r="B35" s="6" t="s">
        <v>123</v>
      </c>
      <c r="C35" s="6" t="s">
        <v>355</v>
      </c>
      <c r="D35" s="21" t="s">
        <v>209</v>
      </c>
      <c r="E35" s="21" t="s">
        <v>302</v>
      </c>
      <c r="F35" s="34">
        <v>0</v>
      </c>
      <c r="G35" s="35">
        <f>F35</f>
        <v>0</v>
      </c>
      <c r="H35" s="35">
        <f>SUMIFS(Outflows!$L$7:$L$163,Outflows!$H$7:$H$163,C35,Outflows!$B$7:$B$163,"&lt;="&amp;Inputs!$B$11)</f>
        <v>0</v>
      </c>
      <c r="I35" s="35">
        <f t="shared" si="1"/>
        <v>0</v>
      </c>
      <c r="J35" s="35">
        <f t="shared" si="2"/>
        <v>0</v>
      </c>
      <c r="K35" s="64">
        <v>45292</v>
      </c>
      <c r="L35" s="64">
        <v>45992</v>
      </c>
      <c r="M35" s="58">
        <f>MAX(0,(YEAR(L35)-YEAR(MAX(K35,Inputs!$B$12)))*12+MONTH(L35)-MONTH(MAX(K35,Inputs!$B$12))+1)</f>
        <v>24</v>
      </c>
      <c r="N35" s="50" t="s">
        <v>356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67">
        <v>1</v>
      </c>
      <c r="Y35" s="67">
        <v>1</v>
      </c>
      <c r="Z35" s="67">
        <v>1</v>
      </c>
      <c r="AA35" s="67">
        <v>1</v>
      </c>
      <c r="AB35" s="67">
        <v>0</v>
      </c>
      <c r="AC35" s="67">
        <v>0</v>
      </c>
      <c r="AD35" s="67">
        <v>0</v>
      </c>
      <c r="AE35" s="67">
        <v>0</v>
      </c>
      <c r="AF35" s="67">
        <v>1</v>
      </c>
      <c r="AG35" s="70">
        <f t="shared" si="3"/>
        <v>0</v>
      </c>
      <c r="AH35" s="70">
        <f>Villas!$I$6*X35+Villas!$I$7*Y35+Villas!$I$8*Z35+Villas!$I$9*AA35+Villas!$I$10*AB35+Villas!$I$11*AC35+Villas!$I$12*AD35+Villas!$I$13*AE35+Villas!$I$14*AF35</f>
        <v>4948.47</v>
      </c>
      <c r="AI35" s="70">
        <f>Villas!$J$6*X35+Villas!$J$7*Y35+Villas!$J$8*Z35+Villas!$J$9*AA35+Villas!$J$10*AB35+Villas!$J$11*AC35+Villas!$J$12*AD35+Villas!$J$13*AE35+Villas!$J$14*AF35</f>
        <v>11808</v>
      </c>
      <c r="AJ35" s="70">
        <f>Villas!$K$6*X35+Villas!$K$7*Y35+Villas!$K$8*Z35+Villas!$K$9*AA35+Villas!$K$10*AB35+Villas!$K$11*AC35+Villas!$K$12*AD35+Villas!$K$13*AE35+Villas!$K$14*AF35</f>
        <v>11217713.053679582</v>
      </c>
      <c r="AK35" s="70">
        <f t="shared" si="4"/>
        <v>5</v>
      </c>
      <c r="AL35" s="70">
        <f t="shared" si="5"/>
        <v>4948.47</v>
      </c>
      <c r="AM35" s="73">
        <f>IFERROR(IF(E35="Direct",O35/$AL35,IF(E35="Building",Villas!$I6*X35/$AL35,IF(E35="Plot",Villas!$J6*X35/$AL35,IF(E35="Revenue",Villas!$K6*X35/$AL35,X35/$AL35)))),0)</f>
        <v>0.33996366553702462</v>
      </c>
      <c r="AN35" s="73">
        <f>IFERROR(IF(E35="Direct",P35/$AL35,IF(E35="Building",Villas!$I7*Y35/$AL35,IF(E35="Plot",Villas!$J7*Y35/$AL35,IF(E35="Revenue",Villas!$K7*Y35/$AL35,Y35/$AL35)))),0)</f>
        <v>0.19284748619270198</v>
      </c>
      <c r="AO35" s="73">
        <f>IFERROR(IF(E35="Direct",Q35/$AL35,IF(E35="Building",Villas!$I8*Z35/$AL35,IF(E35="Plot",Villas!$J8*Z35/$AL35,IF(E35="Revenue",Villas!$K8*Z35/$AL35,Z35/$AL35)))),0)</f>
        <v>0.24734715982919972</v>
      </c>
      <c r="AP35" s="73">
        <f>IFERROR(IF(E35="Direct",R35/$AL35,IF(E35="Building",Villas!$I9*AA35/$AL35,IF(E35="Plot",Villas!$J9*AA35/$AL35,IF(E35="Revenue",Villas!$K9*AA35/$AL35,AA35/$AL35)))),0)</f>
        <v>9.1498988576266996E-2</v>
      </c>
      <c r="AQ35" s="73">
        <f>IFERROR(IF(E35="Direct",S35/$AL35,IF(E35="Building",Villas!$I10*AB35/$AL35,IF(E35="Plot",Villas!$J10*AB35/$AL35,IF(E35="Revenue",Villas!$K10*AB35/$AL35,AB35/$AL35)))),0)</f>
        <v>0</v>
      </c>
      <c r="AR35" s="73">
        <f>IFERROR(IF(E35="Direct",T35/$AL35,IF(E35="Building",Villas!$I11*AC35/$AL35,IF(E35="Plot",Villas!$J11*AC35/$AL35,IF(E35="Revenue",Villas!$K11*AC35/$AL35,AC35/$AL35)))),0)</f>
        <v>0</v>
      </c>
      <c r="AS35" s="73">
        <f>IFERROR(IF(E35="Direct",U35/$AL35,IF(E35="Building",Villas!$I12*AD35/$AL35,IF(E35="Plot",Villas!$J12*AD35/$AL35,IF(E35="Revenue",Villas!$K12*AD35/$AL35,AD35/$AL35)))),0)</f>
        <v>0</v>
      </c>
      <c r="AT35" s="73">
        <f>IFERROR(IF(E35="Direct",V35/$AL35,IF(E35="Building",Villas!$I13*AE35/$AL35,IF(E35="Plot",Villas!$J13*AE35/$AL35,IF(E35="Revenue",Villas!$K13*AE35/$AL35,AE35/$AL35)))),0)</f>
        <v>0</v>
      </c>
      <c r="AU35" s="73">
        <f>IFERROR(IF(E35="Direct",W35/$AL35,IF(E35="Building",Villas!$I14*AF35/$AL35,IF(E35="Plot",Villas!$J14*AF35/$AL35,IF(E35="Revenue",Villas!$K14*AF35/$AL35,AF35/$AL35)))),0)</f>
        <v>0.1283426998648067</v>
      </c>
      <c r="AV35" s="73">
        <f>SUM(Development_Budget[[#This Row],[Horizon Ridge Top Weight]:[Kiri 3 Weight]])</f>
        <v>1</v>
      </c>
    </row>
    <row r="36" spans="1:48">
      <c r="A36" s="6" t="s">
        <v>357</v>
      </c>
      <c r="B36" s="6" t="s">
        <v>123</v>
      </c>
      <c r="C36" s="6" t="s">
        <v>358</v>
      </c>
      <c r="D36" s="21" t="s">
        <v>209</v>
      </c>
      <c r="E36" s="21" t="s">
        <v>302</v>
      </c>
      <c r="F36" s="34">
        <v>0</v>
      </c>
      <c r="G36" s="35">
        <f>F36</f>
        <v>0</v>
      </c>
      <c r="H36" s="35">
        <f>SUMIFS(Outflows!$L$7:$L$163,Outflows!$H$7:$H$163,C36,Outflows!$B$7:$B$163,"&lt;="&amp;Inputs!$B$11)</f>
        <v>48.91227345216452</v>
      </c>
      <c r="I36" s="35">
        <f t="shared" si="1"/>
        <v>0</v>
      </c>
      <c r="J36" s="35">
        <f t="shared" si="2"/>
        <v>48.91227345216452</v>
      </c>
      <c r="K36" s="64">
        <v>45292</v>
      </c>
      <c r="L36" s="64">
        <v>45992</v>
      </c>
      <c r="M36" s="58">
        <f>MAX(0,(YEAR(L36)-YEAR(MAX(K36,Inputs!$B$12)))*12+MONTH(L36)-MONTH(MAX(K36,Inputs!$B$12))+1)</f>
        <v>24</v>
      </c>
      <c r="N36" s="50" t="s">
        <v>356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67">
        <v>1</v>
      </c>
      <c r="Y36" s="67">
        <v>1</v>
      </c>
      <c r="Z36" s="67">
        <v>1</v>
      </c>
      <c r="AA36" s="67">
        <v>1</v>
      </c>
      <c r="AB36" s="67">
        <v>0</v>
      </c>
      <c r="AC36" s="67">
        <v>0</v>
      </c>
      <c r="AD36" s="67">
        <v>0</v>
      </c>
      <c r="AE36" s="67">
        <v>0</v>
      </c>
      <c r="AF36" s="67">
        <v>1</v>
      </c>
      <c r="AG36" s="70">
        <f t="shared" si="3"/>
        <v>0</v>
      </c>
      <c r="AH36" s="70">
        <f>Villas!$I$6*X36+Villas!$I$7*Y36+Villas!$I$8*Z36+Villas!$I$9*AA36+Villas!$I$10*AB36+Villas!$I$11*AC36+Villas!$I$12*AD36+Villas!$I$13*AE36+Villas!$I$14*AF36</f>
        <v>4948.47</v>
      </c>
      <c r="AI36" s="70">
        <f>Villas!$J$6*X36+Villas!$J$7*Y36+Villas!$J$8*Z36+Villas!$J$9*AA36+Villas!$J$10*AB36+Villas!$J$11*AC36+Villas!$J$12*AD36+Villas!$J$13*AE36+Villas!$J$14*AF36</f>
        <v>11808</v>
      </c>
      <c r="AJ36" s="70">
        <f>Villas!$K$6*X36+Villas!$K$7*Y36+Villas!$K$8*Z36+Villas!$K$9*AA36+Villas!$K$10*AB36+Villas!$K$11*AC36+Villas!$K$12*AD36+Villas!$K$13*AE36+Villas!$K$14*AF36</f>
        <v>11217713.053679582</v>
      </c>
      <c r="AK36" s="70">
        <f t="shared" si="4"/>
        <v>5</v>
      </c>
      <c r="AL36" s="70">
        <f t="shared" si="5"/>
        <v>4948.47</v>
      </c>
      <c r="AM36" s="73">
        <f>IFERROR(IF(E36="Direct",O36/$AL36,IF(E36="Building",Villas!$I6*X36/$AL36,IF(E36="Plot",Villas!$J6*X36/$AL36,IF(E36="Revenue",Villas!$K6*X36/$AL36,X36/$AL36)))),0)</f>
        <v>0.33996366553702462</v>
      </c>
      <c r="AN36" s="73">
        <f>IFERROR(IF(E36="Direct",P36/$AL36,IF(E36="Building",Villas!$I7*Y36/$AL36,IF(E36="Plot",Villas!$J7*Y36/$AL36,IF(E36="Revenue",Villas!$K7*Y36/$AL36,Y36/$AL36)))),0)</f>
        <v>0.19284748619270198</v>
      </c>
      <c r="AO36" s="73">
        <f>IFERROR(IF(E36="Direct",Q36/$AL36,IF(E36="Building",Villas!$I8*Z36/$AL36,IF(E36="Plot",Villas!$J8*Z36/$AL36,IF(E36="Revenue",Villas!$K8*Z36/$AL36,Z36/$AL36)))),0)</f>
        <v>0.24734715982919972</v>
      </c>
      <c r="AP36" s="73">
        <f>IFERROR(IF(E36="Direct",R36/$AL36,IF(E36="Building",Villas!$I9*AA36/$AL36,IF(E36="Plot",Villas!$J9*AA36/$AL36,IF(E36="Revenue",Villas!$K9*AA36/$AL36,AA36/$AL36)))),0)</f>
        <v>9.1498988576266996E-2</v>
      </c>
      <c r="AQ36" s="73">
        <f>IFERROR(IF(E36="Direct",S36/$AL36,IF(E36="Building",Villas!$I10*AB36/$AL36,IF(E36="Plot",Villas!$J10*AB36/$AL36,IF(E36="Revenue",Villas!$K10*AB36/$AL36,AB36/$AL36)))),0)</f>
        <v>0</v>
      </c>
      <c r="AR36" s="73">
        <f>IFERROR(IF(E36="Direct",T36/$AL36,IF(E36="Building",Villas!$I11*AC36/$AL36,IF(E36="Plot",Villas!$J11*AC36/$AL36,IF(E36="Revenue",Villas!$K11*AC36/$AL36,AC36/$AL36)))),0)</f>
        <v>0</v>
      </c>
      <c r="AS36" s="73">
        <f>IFERROR(IF(E36="Direct",U36/$AL36,IF(E36="Building",Villas!$I12*AD36/$AL36,IF(E36="Plot",Villas!$J12*AD36/$AL36,IF(E36="Revenue",Villas!$K12*AD36/$AL36,AD36/$AL36)))),0)</f>
        <v>0</v>
      </c>
      <c r="AT36" s="73">
        <f>IFERROR(IF(E36="Direct",V36/$AL36,IF(E36="Building",Villas!$I13*AE36/$AL36,IF(E36="Plot",Villas!$J13*AE36/$AL36,IF(E36="Revenue",Villas!$K13*AE36/$AL36,AE36/$AL36)))),0)</f>
        <v>0</v>
      </c>
      <c r="AU36" s="73">
        <f>IFERROR(IF(E36="Direct",W36/$AL36,IF(E36="Building",Villas!$I14*AF36/$AL36,IF(E36="Plot",Villas!$J14*AF36/$AL36,IF(E36="Revenue",Villas!$K14*AF36/$AL36,AF36/$AL36)))),0)</f>
        <v>0.1283426998648067</v>
      </c>
      <c r="AV36" s="73">
        <f>SUM(Development_Budget[[#This Row],[Horizon Ridge Top Weight]:[Kiri 3 Weight]])</f>
        <v>1</v>
      </c>
    </row>
    <row r="37" spans="1:48">
      <c r="A37" s="6" t="s">
        <v>359</v>
      </c>
      <c r="B37" s="6" t="s">
        <v>123</v>
      </c>
      <c r="C37" s="6" t="s">
        <v>360</v>
      </c>
      <c r="D37" s="21" t="s">
        <v>209</v>
      </c>
      <c r="E37" s="21" t="s">
        <v>302</v>
      </c>
      <c r="F37" s="34">
        <v>0</v>
      </c>
      <c r="G37" s="35">
        <f>F37</f>
        <v>0</v>
      </c>
      <c r="H37" s="35">
        <f>SUMIFS(Outflows!$L$7:$L$163,Outflows!$H$7:$H$163,C37,Outflows!$B$7:$B$163,"&lt;="&amp;Inputs!$B$11)</f>
        <v>628.81004052996593</v>
      </c>
      <c r="I37" s="35">
        <f t="shared" si="1"/>
        <v>0</v>
      </c>
      <c r="J37" s="35">
        <f t="shared" si="2"/>
        <v>628.81004052996593</v>
      </c>
      <c r="K37" s="64">
        <v>45292</v>
      </c>
      <c r="L37" s="64">
        <v>45992</v>
      </c>
      <c r="M37" s="58">
        <f>MAX(0,(YEAR(L37)-YEAR(MAX(K37,Inputs!$B$12)))*12+MONTH(L37)-MONTH(MAX(K37,Inputs!$B$12))+1)</f>
        <v>24</v>
      </c>
      <c r="N37" s="50" t="s">
        <v>356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67">
        <v>1</v>
      </c>
      <c r="Y37" s="67">
        <v>1</v>
      </c>
      <c r="Z37" s="67">
        <v>1</v>
      </c>
      <c r="AA37" s="67">
        <v>1</v>
      </c>
      <c r="AB37" s="67">
        <v>0</v>
      </c>
      <c r="AC37" s="67">
        <v>0</v>
      </c>
      <c r="AD37" s="67">
        <v>0</v>
      </c>
      <c r="AE37" s="67">
        <v>0</v>
      </c>
      <c r="AF37" s="67">
        <v>1</v>
      </c>
      <c r="AG37" s="70">
        <f t="shared" si="3"/>
        <v>0</v>
      </c>
      <c r="AH37" s="70">
        <f>Villas!$I$6*X37+Villas!$I$7*Y37+Villas!$I$8*Z37+Villas!$I$9*AA37+Villas!$I$10*AB37+Villas!$I$11*AC37+Villas!$I$12*AD37+Villas!$I$13*AE37+Villas!$I$14*AF37</f>
        <v>4948.47</v>
      </c>
      <c r="AI37" s="70">
        <f>Villas!$J$6*X37+Villas!$J$7*Y37+Villas!$J$8*Z37+Villas!$J$9*AA37+Villas!$J$10*AB37+Villas!$J$11*AC37+Villas!$J$12*AD37+Villas!$J$13*AE37+Villas!$J$14*AF37</f>
        <v>11808</v>
      </c>
      <c r="AJ37" s="70">
        <f>Villas!$K$6*X37+Villas!$K$7*Y37+Villas!$K$8*Z37+Villas!$K$9*AA37+Villas!$K$10*AB37+Villas!$K$11*AC37+Villas!$K$12*AD37+Villas!$K$13*AE37+Villas!$K$14*AF37</f>
        <v>11217713.053679582</v>
      </c>
      <c r="AK37" s="70">
        <f t="shared" si="4"/>
        <v>5</v>
      </c>
      <c r="AL37" s="70">
        <f t="shared" si="5"/>
        <v>4948.47</v>
      </c>
      <c r="AM37" s="73">
        <f>IFERROR(IF(E37="Direct",O37/$AL37,IF(E37="Building",Villas!$I6*X37/$AL37,IF(E37="Plot",Villas!$J6*X37/$AL37,IF(E37="Revenue",Villas!$K6*X37/$AL37,X37/$AL37)))),0)</f>
        <v>0.33996366553702462</v>
      </c>
      <c r="AN37" s="73">
        <f>IFERROR(IF(E37="Direct",P37/$AL37,IF(E37="Building",Villas!$I7*Y37/$AL37,IF(E37="Plot",Villas!$J7*Y37/$AL37,IF(E37="Revenue",Villas!$K7*Y37/$AL37,Y37/$AL37)))),0)</f>
        <v>0.19284748619270198</v>
      </c>
      <c r="AO37" s="73">
        <f>IFERROR(IF(E37="Direct",Q37/$AL37,IF(E37="Building",Villas!$I8*Z37/$AL37,IF(E37="Plot",Villas!$J8*Z37/$AL37,IF(E37="Revenue",Villas!$K8*Z37/$AL37,Z37/$AL37)))),0)</f>
        <v>0.24734715982919972</v>
      </c>
      <c r="AP37" s="73">
        <f>IFERROR(IF(E37="Direct",R37/$AL37,IF(E37="Building",Villas!$I9*AA37/$AL37,IF(E37="Plot",Villas!$J9*AA37/$AL37,IF(E37="Revenue",Villas!$K9*AA37/$AL37,AA37/$AL37)))),0)</f>
        <v>9.1498988576266996E-2</v>
      </c>
      <c r="AQ37" s="73">
        <f>IFERROR(IF(E37="Direct",S37/$AL37,IF(E37="Building",Villas!$I10*AB37/$AL37,IF(E37="Plot",Villas!$J10*AB37/$AL37,IF(E37="Revenue",Villas!$K10*AB37/$AL37,AB37/$AL37)))),0)</f>
        <v>0</v>
      </c>
      <c r="AR37" s="73">
        <f>IFERROR(IF(E37="Direct",T37/$AL37,IF(E37="Building",Villas!$I11*AC37/$AL37,IF(E37="Plot",Villas!$J11*AC37/$AL37,IF(E37="Revenue",Villas!$K11*AC37/$AL37,AC37/$AL37)))),0)</f>
        <v>0</v>
      </c>
      <c r="AS37" s="73">
        <f>IFERROR(IF(E37="Direct",U37/$AL37,IF(E37="Building",Villas!$I12*AD37/$AL37,IF(E37="Plot",Villas!$J12*AD37/$AL37,IF(E37="Revenue",Villas!$K12*AD37/$AL37,AD37/$AL37)))),0)</f>
        <v>0</v>
      </c>
      <c r="AT37" s="73">
        <f>IFERROR(IF(E37="Direct",V37/$AL37,IF(E37="Building",Villas!$I13*AE37/$AL37,IF(E37="Plot",Villas!$J13*AE37/$AL37,IF(E37="Revenue",Villas!$K13*AE37/$AL37,AE37/$AL37)))),0)</f>
        <v>0</v>
      </c>
      <c r="AU37" s="73">
        <f>IFERROR(IF(E37="Direct",W37/$AL37,IF(E37="Building",Villas!$I14*AF37/$AL37,IF(E37="Plot",Villas!$J14*AF37/$AL37,IF(E37="Revenue",Villas!$K14*AF37/$AL37,AF37/$AL37)))),0)</f>
        <v>0.1283426998648067</v>
      </c>
      <c r="AV37" s="73">
        <f>SUM(Development_Budget[[#This Row],[Horizon Ridge Top Weight]:[Kiri 3 Weight]])</f>
        <v>1</v>
      </c>
    </row>
    <row r="38" spans="1:48">
      <c r="A38" s="7" t="s">
        <v>361</v>
      </c>
      <c r="B38" s="7" t="s">
        <v>123</v>
      </c>
      <c r="C38" s="7" t="s">
        <v>362</v>
      </c>
      <c r="D38" s="22" t="s">
        <v>209</v>
      </c>
      <c r="E38" s="22" t="s">
        <v>302</v>
      </c>
      <c r="F38" s="14">
        <v>0</v>
      </c>
      <c r="G38" s="36">
        <f>F38</f>
        <v>0</v>
      </c>
      <c r="H38" s="36">
        <f>SUMIFS(Outflows!$L$7:$L$163,Outflows!$H$7:$H$163,C38,Outflows!$B$7:$B$163,"&lt;="&amp;Inputs!$B$11)</f>
        <v>0</v>
      </c>
      <c r="I38" s="36">
        <f t="shared" si="1"/>
        <v>0</v>
      </c>
      <c r="J38" s="36">
        <f t="shared" si="2"/>
        <v>0</v>
      </c>
      <c r="K38" s="65">
        <v>45292</v>
      </c>
      <c r="L38" s="65">
        <v>45992</v>
      </c>
      <c r="M38" s="59">
        <f>MAX(0,(YEAR(L38)-YEAR(MAX(K38,Inputs!$B$12)))*12+MONTH(L38)-MONTH(MAX(K38,Inputs!$B$12))+1)</f>
        <v>24</v>
      </c>
      <c r="N38" s="51" t="s">
        <v>363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68">
        <v>1</v>
      </c>
      <c r="Y38" s="68">
        <v>1</v>
      </c>
      <c r="Z38" s="68">
        <v>1</v>
      </c>
      <c r="AA38" s="68">
        <v>1</v>
      </c>
      <c r="AB38" s="68">
        <v>0</v>
      </c>
      <c r="AC38" s="68">
        <v>0</v>
      </c>
      <c r="AD38" s="68">
        <v>0</v>
      </c>
      <c r="AE38" s="68">
        <v>0</v>
      </c>
      <c r="AF38" s="68">
        <v>1</v>
      </c>
      <c r="AG38" s="71">
        <f t="shared" si="3"/>
        <v>0</v>
      </c>
      <c r="AH38" s="71">
        <f>Villas!$I$6*X38+Villas!$I$7*Y38+Villas!$I$8*Z38+Villas!$I$9*AA38+Villas!$I$10*AB38+Villas!$I$11*AC38+Villas!$I$12*AD38+Villas!$I$13*AE38+Villas!$I$14*AF38</f>
        <v>4948.47</v>
      </c>
      <c r="AI38" s="71">
        <f>Villas!$J$6*X38+Villas!$J$7*Y38+Villas!$J$8*Z38+Villas!$J$9*AA38+Villas!$J$10*AB38+Villas!$J$11*AC38+Villas!$J$12*AD38+Villas!$J$13*AE38+Villas!$J$14*AF38</f>
        <v>11808</v>
      </c>
      <c r="AJ38" s="71">
        <f>Villas!$K$6*X38+Villas!$K$7*Y38+Villas!$K$8*Z38+Villas!$K$9*AA38+Villas!$K$10*AB38+Villas!$K$11*AC38+Villas!$K$12*AD38+Villas!$K$13*AE38+Villas!$K$14*AF38</f>
        <v>11217713.053679582</v>
      </c>
      <c r="AK38" s="71">
        <f t="shared" si="4"/>
        <v>5</v>
      </c>
      <c r="AL38" s="71">
        <f t="shared" si="5"/>
        <v>4948.47</v>
      </c>
      <c r="AM38" s="74">
        <f>IFERROR(IF(E38="Direct",O38/$AL38,IF(E38="Building",Villas!$I6*X38/$AL38,IF(E38="Plot",Villas!$J6*X38/$AL38,IF(E38="Revenue",Villas!$K6*X38/$AL38,X38/$AL38)))),0)</f>
        <v>0.33996366553702462</v>
      </c>
      <c r="AN38" s="74">
        <f>IFERROR(IF(E38="Direct",P38/$AL38,IF(E38="Building",Villas!$I7*Y38/$AL38,IF(E38="Plot",Villas!$J7*Y38/$AL38,IF(E38="Revenue",Villas!$K7*Y38/$AL38,Y38/$AL38)))),0)</f>
        <v>0.19284748619270198</v>
      </c>
      <c r="AO38" s="74">
        <f>IFERROR(IF(E38="Direct",Q38/$AL38,IF(E38="Building",Villas!$I8*Z38/$AL38,IF(E38="Plot",Villas!$J8*Z38/$AL38,IF(E38="Revenue",Villas!$K8*Z38/$AL38,Z38/$AL38)))),0)</f>
        <v>0.24734715982919972</v>
      </c>
      <c r="AP38" s="74">
        <f>IFERROR(IF(E38="Direct",R38/$AL38,IF(E38="Building",Villas!$I9*AA38/$AL38,IF(E38="Plot",Villas!$J9*AA38/$AL38,IF(E38="Revenue",Villas!$K9*AA38/$AL38,AA38/$AL38)))),0)</f>
        <v>9.1498988576266996E-2</v>
      </c>
      <c r="AQ38" s="74">
        <f>IFERROR(IF(E38="Direct",S38/$AL38,IF(E38="Building",Villas!$I10*AB38/$AL38,IF(E38="Plot",Villas!$J10*AB38/$AL38,IF(E38="Revenue",Villas!$K10*AB38/$AL38,AB38/$AL38)))),0)</f>
        <v>0</v>
      </c>
      <c r="AR38" s="74">
        <f>IFERROR(IF(E38="Direct",T38/$AL38,IF(E38="Building",Villas!$I11*AC38/$AL38,IF(E38="Plot",Villas!$J11*AC38/$AL38,IF(E38="Revenue",Villas!$K11*AC38/$AL38,AC38/$AL38)))),0)</f>
        <v>0</v>
      </c>
      <c r="AS38" s="74">
        <f>IFERROR(IF(E38="Direct",U38/$AL38,IF(E38="Building",Villas!$I12*AD38/$AL38,IF(E38="Plot",Villas!$J12*AD38/$AL38,IF(E38="Revenue",Villas!$K12*AD38/$AL38,AD38/$AL38)))),0)</f>
        <v>0</v>
      </c>
      <c r="AT38" s="74">
        <f>IFERROR(IF(E38="Direct",V38/$AL38,IF(E38="Building",Villas!$I13*AE38/$AL38,IF(E38="Plot",Villas!$J13*AE38/$AL38,IF(E38="Revenue",Villas!$K13*AE38/$AL38,AE38/$AL38)))),0)</f>
        <v>0</v>
      </c>
      <c r="AU38" s="74">
        <f>IFERROR(IF(E38="Direct",W38/$AL38,IF(E38="Building",Villas!$I14*AF38/$AL38,IF(E38="Plot",Villas!$J14*AF38/$AL38,IF(E38="Revenue",Villas!$K14*AF38/$AL38,AF38/$AL38)))),0)</f>
        <v>0.1283426998648067</v>
      </c>
      <c r="AV38" s="74">
        <f>SUM(Development_Budget[[#This Row],[Horizon Ridge Top Weight]:[Kiri 3 Weight]])</f>
        <v>1</v>
      </c>
    </row>
    <row r="40" spans="1:48" ht="13.9">
      <c r="A40" s="176" t="s">
        <v>364</v>
      </c>
      <c r="B40" s="176"/>
      <c r="C40" s="176"/>
      <c r="D40" s="176"/>
      <c r="E40" s="176"/>
      <c r="F40" s="176"/>
      <c r="G40" s="75">
        <f>SUM(G7:G38)</f>
        <v>11480716.629746545</v>
      </c>
      <c r="H40" s="75">
        <f>SUM(H7:H38)</f>
        <v>788238.54985582863</v>
      </c>
      <c r="I40" s="75">
        <f>SUM(I7:I38)</f>
        <v>10696574.460416501</v>
      </c>
      <c r="J40" s="75">
        <f>SUM(J7:J38)</f>
        <v>11484813.010272332</v>
      </c>
    </row>
  </sheetData>
  <mergeCells count="6">
    <mergeCell ref="X4:AF4"/>
    <mergeCell ref="A40:F40"/>
    <mergeCell ref="A2:I2"/>
    <mergeCell ref="A1:I1"/>
    <mergeCell ref="A4:N4"/>
    <mergeCell ref="O4:W4"/>
  </mergeCells>
  <dataValidations count="3">
    <dataValidation type="list" sqref="D7:D38" xr:uid="{00000000-0002-0000-0800-000000000000}">
      <formula1>"Yes,No"</formula1>
    </dataValidation>
    <dataValidation type="list" sqref="E7:E38" xr:uid="{00000000-0002-0000-0800-000001000000}">
      <formula1>"Direct,Building,Plot,Revenue,Equal"</formula1>
    </dataValidation>
    <dataValidation type="list" sqref="X7:AF38" xr:uid="{00000000-0002-0000-0800-000002000000}">
      <formula1>"0,1"</formula1>
    </dataValidation>
  </dataValidations>
  <hyperlinks>
    <hyperlink ref="J1" location="Cover!A1" tooltip="Back to Cover" display="← Back to Cover" xr:uid="{772DFCC9-CB60-4FD6-A9F1-9ACF037819DE}"/>
  </hyperlink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N53"/>
  <sheetViews>
    <sheetView showGridLines="0" topLeftCell="E1" workbookViewId="0">
      <selection activeCell="N4" sqref="N4"/>
    </sheetView>
  </sheetViews>
  <sheetFormatPr defaultRowHeight="13.5"/>
  <cols>
    <col min="1" max="1" width="24" customWidth="1"/>
    <col min="2" max="2" width="17" customWidth="1"/>
    <col min="3" max="3" width="18" customWidth="1"/>
    <col min="4" max="4" width="42" customWidth="1"/>
    <col min="6" max="6" width="13" customWidth="1"/>
    <col min="7" max="7" width="12" customWidth="1"/>
    <col min="8" max="8" width="18" customWidth="1"/>
    <col min="10" max="11" width="25" customWidth="1"/>
    <col min="12" max="12" width="15" customWidth="1"/>
    <col min="13" max="13" width="22" customWidth="1"/>
  </cols>
  <sheetData>
    <row r="1" spans="1:14" ht="30" customHeight="1">
      <c r="A1" s="180" t="s">
        <v>365</v>
      </c>
      <c r="B1" s="181"/>
      <c r="C1" s="181"/>
      <c r="D1" s="181"/>
      <c r="E1" s="181"/>
      <c r="F1" s="181"/>
      <c r="G1" s="181"/>
      <c r="H1" s="181"/>
      <c r="I1" s="181"/>
      <c r="J1" s="148"/>
      <c r="K1" s="181"/>
      <c r="L1" s="181"/>
      <c r="M1" s="181"/>
      <c r="N1" s="125"/>
    </row>
    <row r="2" spans="1:14" ht="28.15" customHeight="1">
      <c r="A2" s="150" t="s">
        <v>366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4" spans="1:14" ht="13.9">
      <c r="A4" s="163" t="s">
        <v>367</v>
      </c>
      <c r="B4" s="163" t="s">
        <v>367</v>
      </c>
      <c r="C4" s="163" t="s">
        <v>367</v>
      </c>
      <c r="D4" s="163" t="s">
        <v>367</v>
      </c>
      <c r="F4" s="163" t="s">
        <v>368</v>
      </c>
      <c r="G4" s="163" t="s">
        <v>368</v>
      </c>
      <c r="H4" s="163" t="s">
        <v>368</v>
      </c>
      <c r="J4" s="163" t="s">
        <v>369</v>
      </c>
      <c r="K4" s="163"/>
      <c r="L4" s="163"/>
      <c r="M4" s="163"/>
      <c r="N4" s="123" t="s">
        <v>99</v>
      </c>
    </row>
    <row r="5" spans="1:14" ht="30" customHeight="1">
      <c r="A5" s="2" t="s">
        <v>370</v>
      </c>
      <c r="B5" s="3" t="s">
        <v>3</v>
      </c>
      <c r="C5" s="3" t="s">
        <v>131</v>
      </c>
      <c r="D5" s="4" t="s">
        <v>371</v>
      </c>
      <c r="F5" s="2" t="s">
        <v>372</v>
      </c>
      <c r="G5" s="3" t="s">
        <v>125</v>
      </c>
      <c r="H5" s="4" t="s">
        <v>373</v>
      </c>
      <c r="J5" s="2" t="s">
        <v>374</v>
      </c>
      <c r="K5" s="3" t="s">
        <v>375</v>
      </c>
      <c r="L5" s="3" t="s">
        <v>376</v>
      </c>
      <c r="M5" s="4" t="s">
        <v>377</v>
      </c>
    </row>
    <row r="6" spans="1:14">
      <c r="A6" s="5" t="s">
        <v>378</v>
      </c>
      <c r="B6" s="11">
        <v>15000</v>
      </c>
      <c r="C6" s="5" t="s">
        <v>379</v>
      </c>
      <c r="D6" s="5" t="s">
        <v>380</v>
      </c>
      <c r="F6" s="15">
        <v>44562</v>
      </c>
      <c r="G6" s="5" t="s">
        <v>381</v>
      </c>
      <c r="H6" s="11">
        <v>14381</v>
      </c>
      <c r="J6" s="5" t="s">
        <v>335</v>
      </c>
      <c r="K6" s="20" t="s">
        <v>335</v>
      </c>
      <c r="L6" s="5" t="s">
        <v>382</v>
      </c>
      <c r="M6" s="5"/>
    </row>
    <row r="7" spans="1:14">
      <c r="A7" s="6" t="s">
        <v>383</v>
      </c>
      <c r="B7" s="12">
        <v>0.11</v>
      </c>
      <c r="C7" s="6" t="s">
        <v>149</v>
      </c>
      <c r="D7" s="6" t="s">
        <v>380</v>
      </c>
      <c r="F7" s="16">
        <v>44593</v>
      </c>
      <c r="G7" s="6" t="s">
        <v>384</v>
      </c>
      <c r="H7" s="18">
        <v>14371</v>
      </c>
      <c r="J7" s="6" t="s">
        <v>385</v>
      </c>
      <c r="K7" s="21" t="s">
        <v>301</v>
      </c>
      <c r="L7" s="6" t="s">
        <v>382</v>
      </c>
      <c r="M7" s="6"/>
    </row>
    <row r="8" spans="1:14">
      <c r="A8" s="6" t="s">
        <v>386</v>
      </c>
      <c r="B8" s="12">
        <v>0.2</v>
      </c>
      <c r="C8" s="6" t="s">
        <v>149</v>
      </c>
      <c r="D8" s="6" t="s">
        <v>387</v>
      </c>
      <c r="F8" s="16">
        <v>44621</v>
      </c>
      <c r="G8" s="6" t="s">
        <v>388</v>
      </c>
      <c r="H8" s="18">
        <v>14349</v>
      </c>
      <c r="J8" s="6" t="s">
        <v>301</v>
      </c>
      <c r="K8" s="21" t="s">
        <v>301</v>
      </c>
      <c r="L8" s="6" t="s">
        <v>382</v>
      </c>
      <c r="M8" s="6"/>
    </row>
    <row r="9" spans="1:14">
      <c r="A9" s="6" t="s">
        <v>389</v>
      </c>
      <c r="B9" s="12">
        <v>2.5000000000000001E-2</v>
      </c>
      <c r="C9" s="6" t="s">
        <v>390</v>
      </c>
      <c r="D9" s="6" t="s">
        <v>391</v>
      </c>
      <c r="F9" s="16">
        <v>44652</v>
      </c>
      <c r="G9" s="6" t="s">
        <v>392</v>
      </c>
      <c r="H9" s="18">
        <v>14418</v>
      </c>
      <c r="J9" s="6" t="s">
        <v>323</v>
      </c>
      <c r="K9" s="21" t="s">
        <v>323</v>
      </c>
      <c r="L9" s="6" t="s">
        <v>382</v>
      </c>
      <c r="M9" s="6"/>
    </row>
    <row r="10" spans="1:14">
      <c r="A10" s="6" t="s">
        <v>393</v>
      </c>
      <c r="B10" s="13">
        <v>44593</v>
      </c>
      <c r="C10" s="6" t="s">
        <v>394</v>
      </c>
      <c r="D10" s="6" t="s">
        <v>395</v>
      </c>
      <c r="F10" s="16">
        <v>44682</v>
      </c>
      <c r="G10" s="6" t="s">
        <v>396</v>
      </c>
      <c r="H10" s="18">
        <v>14544</v>
      </c>
      <c r="J10" s="6" t="s">
        <v>312</v>
      </c>
      <c r="K10" s="21" t="s">
        <v>312</v>
      </c>
      <c r="L10" s="6" t="s">
        <v>382</v>
      </c>
      <c r="M10" s="6"/>
    </row>
    <row r="11" spans="1:14">
      <c r="A11" s="6" t="s">
        <v>7</v>
      </c>
      <c r="B11" s="13">
        <v>45291</v>
      </c>
      <c r="C11" s="6" t="s">
        <v>397</v>
      </c>
      <c r="D11" s="6" t="s">
        <v>398</v>
      </c>
      <c r="F11" s="16">
        <v>44713</v>
      </c>
      <c r="G11" s="6" t="s">
        <v>399</v>
      </c>
      <c r="H11" s="18">
        <v>14848</v>
      </c>
      <c r="J11" s="6" t="s">
        <v>400</v>
      </c>
      <c r="K11" s="21" t="s">
        <v>305</v>
      </c>
      <c r="L11" s="6" t="s">
        <v>382</v>
      </c>
      <c r="M11" s="6"/>
    </row>
    <row r="12" spans="1:14">
      <c r="A12" s="6" t="s">
        <v>401</v>
      </c>
      <c r="B12" s="9">
        <f>DATE(YEAR(B11),MONTH(B11)+1,1)</f>
        <v>45292</v>
      </c>
      <c r="C12" s="6" t="s">
        <v>394</v>
      </c>
      <c r="D12" s="6" t="s">
        <v>402</v>
      </c>
      <c r="F12" s="16">
        <v>44743</v>
      </c>
      <c r="G12" s="6" t="s">
        <v>403</v>
      </c>
      <c r="H12" s="18">
        <v>14958</v>
      </c>
      <c r="J12" s="6" t="s">
        <v>360</v>
      </c>
      <c r="K12" s="21" t="s">
        <v>360</v>
      </c>
      <c r="L12" s="6" t="s">
        <v>382</v>
      </c>
      <c r="M12" s="6"/>
    </row>
    <row r="13" spans="1:14">
      <c r="A13" s="7" t="s">
        <v>404</v>
      </c>
      <c r="B13" s="14">
        <v>0</v>
      </c>
      <c r="C13" s="7" t="s">
        <v>10</v>
      </c>
      <c r="D13" s="7" t="s">
        <v>405</v>
      </c>
      <c r="F13" s="16">
        <v>44774</v>
      </c>
      <c r="G13" s="6" t="s">
        <v>406</v>
      </c>
      <c r="H13" s="18">
        <v>14875</v>
      </c>
      <c r="J13" s="6" t="s">
        <v>316</v>
      </c>
      <c r="K13" s="21" t="s">
        <v>316</v>
      </c>
      <c r="L13" s="6" t="s">
        <v>382</v>
      </c>
      <c r="M13" s="6"/>
    </row>
    <row r="14" spans="1:14">
      <c r="F14" s="16">
        <v>44805</v>
      </c>
      <c r="G14" s="6" t="s">
        <v>407</v>
      </c>
      <c r="H14" s="18">
        <v>15247</v>
      </c>
      <c r="J14" s="6" t="s">
        <v>321</v>
      </c>
      <c r="K14" s="21" t="s">
        <v>321</v>
      </c>
      <c r="L14" s="6" t="s">
        <v>382</v>
      </c>
      <c r="M14" s="6"/>
    </row>
    <row r="15" spans="1:14">
      <c r="A15" s="163" t="s">
        <v>408</v>
      </c>
      <c r="B15" s="163" t="s">
        <v>408</v>
      </c>
      <c r="C15" s="163" t="s">
        <v>408</v>
      </c>
      <c r="D15" s="163" t="s">
        <v>408</v>
      </c>
      <c r="F15" s="16">
        <v>44835</v>
      </c>
      <c r="G15" s="6" t="s">
        <v>409</v>
      </c>
      <c r="H15" s="18">
        <v>15542</v>
      </c>
      <c r="J15" s="6" t="s">
        <v>119</v>
      </c>
      <c r="K15" s="21" t="s">
        <v>119</v>
      </c>
      <c r="L15" s="6" t="s">
        <v>382</v>
      </c>
      <c r="M15" s="6"/>
    </row>
    <row r="16" spans="1:14" ht="30" customHeight="1">
      <c r="A16" s="2" t="s">
        <v>410</v>
      </c>
      <c r="B16" s="3" t="s">
        <v>411</v>
      </c>
      <c r="C16" s="3" t="s">
        <v>412</v>
      </c>
      <c r="D16" s="4" t="s">
        <v>192</v>
      </c>
      <c r="F16" s="16">
        <v>44866</v>
      </c>
      <c r="G16" s="6" t="s">
        <v>413</v>
      </c>
      <c r="H16" s="18">
        <v>15737</v>
      </c>
      <c r="J16" s="6" t="s">
        <v>414</v>
      </c>
      <c r="K16" s="21" t="s">
        <v>119</v>
      </c>
      <c r="L16" s="6" t="s">
        <v>382</v>
      </c>
      <c r="M16" s="6"/>
    </row>
    <row r="17" spans="1:13">
      <c r="A17" s="5" t="s">
        <v>415</v>
      </c>
      <c r="B17" s="5" t="s">
        <v>416</v>
      </c>
      <c r="C17" s="5" t="s">
        <v>417</v>
      </c>
      <c r="D17" s="5" t="s">
        <v>418</v>
      </c>
      <c r="F17" s="16">
        <v>44896</v>
      </c>
      <c r="G17" s="6" t="s">
        <v>419</v>
      </c>
      <c r="H17" s="18">
        <v>15731</v>
      </c>
      <c r="J17" s="6" t="s">
        <v>314</v>
      </c>
      <c r="K17" s="21" t="s">
        <v>314</v>
      </c>
      <c r="L17" s="6" t="s">
        <v>382</v>
      </c>
      <c r="M17" s="6"/>
    </row>
    <row r="18" spans="1:13">
      <c r="A18" s="6" t="s">
        <v>127</v>
      </c>
      <c r="B18" s="6" t="s">
        <v>420</v>
      </c>
      <c r="C18" s="6" t="s">
        <v>417</v>
      </c>
      <c r="D18" s="6" t="s">
        <v>418</v>
      </c>
      <c r="F18" s="16">
        <v>44927</v>
      </c>
      <c r="G18" s="6" t="s">
        <v>421</v>
      </c>
      <c r="H18" s="18">
        <v>14979</v>
      </c>
      <c r="J18" s="6" t="s">
        <v>422</v>
      </c>
      <c r="K18" s="21" t="s">
        <v>329</v>
      </c>
      <c r="L18" s="6" t="s">
        <v>382</v>
      </c>
      <c r="M18" s="6"/>
    </row>
    <row r="19" spans="1:13">
      <c r="A19" s="6" t="s">
        <v>423</v>
      </c>
      <c r="B19" s="6" t="s">
        <v>424</v>
      </c>
      <c r="C19" s="6" t="s">
        <v>417</v>
      </c>
      <c r="D19" s="6" t="s">
        <v>418</v>
      </c>
      <c r="F19" s="16">
        <v>44958</v>
      </c>
      <c r="G19" s="6" t="s">
        <v>425</v>
      </c>
      <c r="H19" s="18">
        <v>15274</v>
      </c>
      <c r="J19" s="6" t="s">
        <v>325</v>
      </c>
      <c r="K19" s="21" t="s">
        <v>325</v>
      </c>
      <c r="L19" s="6" t="s">
        <v>382</v>
      </c>
      <c r="M19" s="6"/>
    </row>
    <row r="20" spans="1:13">
      <c r="A20" s="6" t="s">
        <v>426</v>
      </c>
      <c r="B20" s="6" t="s">
        <v>427</v>
      </c>
      <c r="C20" s="6" t="s">
        <v>417</v>
      </c>
      <c r="D20" s="6" t="s">
        <v>418</v>
      </c>
      <c r="F20" s="16">
        <v>44986</v>
      </c>
      <c r="G20" s="6" t="s">
        <v>428</v>
      </c>
      <c r="H20" s="18">
        <v>15062</v>
      </c>
      <c r="J20" s="6" t="s">
        <v>310</v>
      </c>
      <c r="K20" s="21" t="s">
        <v>310</v>
      </c>
      <c r="L20" s="6" t="s">
        <v>382</v>
      </c>
      <c r="M20" s="6"/>
    </row>
    <row r="21" spans="1:13">
      <c r="A21" s="7" t="s">
        <v>429</v>
      </c>
      <c r="B21" s="7" t="s">
        <v>430</v>
      </c>
      <c r="C21" s="7" t="s">
        <v>431</v>
      </c>
      <c r="D21" s="7" t="s">
        <v>418</v>
      </c>
      <c r="F21" s="16">
        <v>45017</v>
      </c>
      <c r="G21" s="6" t="s">
        <v>432</v>
      </c>
      <c r="H21" s="18">
        <v>15000</v>
      </c>
      <c r="J21" s="6" t="s">
        <v>319</v>
      </c>
      <c r="K21" s="21" t="s">
        <v>319</v>
      </c>
      <c r="L21" s="6" t="s">
        <v>382</v>
      </c>
      <c r="M21" s="6"/>
    </row>
    <row r="22" spans="1:13">
      <c r="F22" s="16">
        <v>45047</v>
      </c>
      <c r="G22" s="6" t="s">
        <v>433</v>
      </c>
      <c r="H22" s="18">
        <v>15000</v>
      </c>
      <c r="J22" s="6" t="s">
        <v>434</v>
      </c>
      <c r="K22" s="21" t="s">
        <v>352</v>
      </c>
      <c r="L22" s="6" t="s">
        <v>382</v>
      </c>
      <c r="M22" s="6"/>
    </row>
    <row r="23" spans="1:13">
      <c r="F23" s="16">
        <v>45078</v>
      </c>
      <c r="G23" s="6" t="s">
        <v>435</v>
      </c>
      <c r="H23" s="18">
        <v>15000</v>
      </c>
      <c r="J23" s="6" t="s">
        <v>436</v>
      </c>
      <c r="K23" s="21" t="s">
        <v>358</v>
      </c>
      <c r="L23" s="6" t="s">
        <v>382</v>
      </c>
      <c r="M23" s="6"/>
    </row>
    <row r="24" spans="1:13">
      <c r="F24" s="16">
        <v>45108</v>
      </c>
      <c r="G24" s="6" t="s">
        <v>437</v>
      </c>
      <c r="H24" s="18">
        <v>15000</v>
      </c>
      <c r="J24" s="7" t="s">
        <v>358</v>
      </c>
      <c r="K24" s="22" t="s">
        <v>358</v>
      </c>
      <c r="L24" s="7" t="s">
        <v>382</v>
      </c>
      <c r="M24" s="7"/>
    </row>
    <row r="25" spans="1:13">
      <c r="F25" s="16">
        <v>45139</v>
      </c>
      <c r="G25" s="6" t="s">
        <v>438</v>
      </c>
      <c r="H25" s="18">
        <v>15000</v>
      </c>
    </row>
    <row r="26" spans="1:13">
      <c r="F26" s="16">
        <v>45170</v>
      </c>
      <c r="G26" s="6" t="s">
        <v>439</v>
      </c>
      <c r="H26" s="18">
        <v>15000</v>
      </c>
    </row>
    <row r="27" spans="1:13">
      <c r="F27" s="16">
        <v>45200</v>
      </c>
      <c r="G27" s="6" t="s">
        <v>440</v>
      </c>
      <c r="H27" s="18">
        <v>15000</v>
      </c>
    </row>
    <row r="28" spans="1:13">
      <c r="F28" s="16">
        <v>45231</v>
      </c>
      <c r="G28" s="6" t="s">
        <v>441</v>
      </c>
      <c r="H28" s="18">
        <v>15000</v>
      </c>
    </row>
    <row r="29" spans="1:13">
      <c r="F29" s="16">
        <v>45261</v>
      </c>
      <c r="G29" s="6" t="s">
        <v>442</v>
      </c>
      <c r="H29" s="18">
        <v>15000</v>
      </c>
    </row>
    <row r="30" spans="1:13">
      <c r="F30" s="16">
        <v>45292</v>
      </c>
      <c r="G30" s="6" t="s">
        <v>443</v>
      </c>
      <c r="H30" s="18">
        <v>15000</v>
      </c>
    </row>
    <row r="31" spans="1:13">
      <c r="F31" s="16">
        <v>45323</v>
      </c>
      <c r="G31" s="6" t="s">
        <v>444</v>
      </c>
      <c r="H31" s="18">
        <v>15000</v>
      </c>
    </row>
    <row r="32" spans="1:13">
      <c r="F32" s="16">
        <v>45352</v>
      </c>
      <c r="G32" s="6" t="s">
        <v>445</v>
      </c>
      <c r="H32" s="18">
        <v>15000</v>
      </c>
    </row>
    <row r="33" spans="6:8">
      <c r="F33" s="16">
        <v>45383</v>
      </c>
      <c r="G33" s="6" t="s">
        <v>446</v>
      </c>
      <c r="H33" s="18">
        <v>15000</v>
      </c>
    </row>
    <row r="34" spans="6:8">
      <c r="F34" s="16">
        <v>45413</v>
      </c>
      <c r="G34" s="6" t="s">
        <v>447</v>
      </c>
      <c r="H34" s="18">
        <v>15000</v>
      </c>
    </row>
    <row r="35" spans="6:8">
      <c r="F35" s="16">
        <v>45444</v>
      </c>
      <c r="G35" s="6" t="s">
        <v>448</v>
      </c>
      <c r="H35" s="18">
        <v>15000</v>
      </c>
    </row>
    <row r="36" spans="6:8">
      <c r="F36" s="16">
        <v>45474</v>
      </c>
      <c r="G36" s="6" t="s">
        <v>449</v>
      </c>
      <c r="H36" s="18">
        <v>15000</v>
      </c>
    </row>
    <row r="37" spans="6:8">
      <c r="F37" s="16">
        <v>45505</v>
      </c>
      <c r="G37" s="6" t="s">
        <v>450</v>
      </c>
      <c r="H37" s="18">
        <v>15000</v>
      </c>
    </row>
    <row r="38" spans="6:8">
      <c r="F38" s="16">
        <v>45536</v>
      </c>
      <c r="G38" s="6" t="s">
        <v>451</v>
      </c>
      <c r="H38" s="18">
        <v>15000</v>
      </c>
    </row>
    <row r="39" spans="6:8">
      <c r="F39" s="16">
        <v>45566</v>
      </c>
      <c r="G39" s="6" t="s">
        <v>452</v>
      </c>
      <c r="H39" s="18">
        <v>15000</v>
      </c>
    </row>
    <row r="40" spans="6:8">
      <c r="F40" s="16">
        <v>45597</v>
      </c>
      <c r="G40" s="6" t="s">
        <v>453</v>
      </c>
      <c r="H40" s="18">
        <v>15000</v>
      </c>
    </row>
    <row r="41" spans="6:8">
      <c r="F41" s="16">
        <v>45627</v>
      </c>
      <c r="G41" s="6" t="s">
        <v>454</v>
      </c>
      <c r="H41" s="18">
        <v>15000</v>
      </c>
    </row>
    <row r="42" spans="6:8">
      <c r="F42" s="16">
        <v>45658</v>
      </c>
      <c r="G42" s="6" t="s">
        <v>455</v>
      </c>
      <c r="H42" s="18">
        <v>15000</v>
      </c>
    </row>
    <row r="43" spans="6:8">
      <c r="F43" s="16">
        <v>45689</v>
      </c>
      <c r="G43" s="6" t="s">
        <v>456</v>
      </c>
      <c r="H43" s="18">
        <v>15000</v>
      </c>
    </row>
    <row r="44" spans="6:8">
      <c r="F44" s="16">
        <v>45717</v>
      </c>
      <c r="G44" s="6" t="s">
        <v>457</v>
      </c>
      <c r="H44" s="18">
        <v>15000</v>
      </c>
    </row>
    <row r="45" spans="6:8">
      <c r="F45" s="16">
        <v>45748</v>
      </c>
      <c r="G45" s="6" t="s">
        <v>458</v>
      </c>
      <c r="H45" s="18">
        <v>15000</v>
      </c>
    </row>
    <row r="46" spans="6:8">
      <c r="F46" s="16">
        <v>45778</v>
      </c>
      <c r="G46" s="6" t="s">
        <v>459</v>
      </c>
      <c r="H46" s="18">
        <v>15000</v>
      </c>
    </row>
    <row r="47" spans="6:8">
      <c r="F47" s="16">
        <v>45809</v>
      </c>
      <c r="G47" s="6" t="s">
        <v>460</v>
      </c>
      <c r="H47" s="18">
        <v>15000</v>
      </c>
    </row>
    <row r="48" spans="6:8">
      <c r="F48" s="16">
        <v>45839</v>
      </c>
      <c r="G48" s="6" t="s">
        <v>461</v>
      </c>
      <c r="H48" s="18">
        <v>15000</v>
      </c>
    </row>
    <row r="49" spans="6:8">
      <c r="F49" s="16">
        <v>45870</v>
      </c>
      <c r="G49" s="6" t="s">
        <v>462</v>
      </c>
      <c r="H49" s="18">
        <v>15000</v>
      </c>
    </row>
    <row r="50" spans="6:8">
      <c r="F50" s="16">
        <v>45901</v>
      </c>
      <c r="G50" s="6" t="s">
        <v>463</v>
      </c>
      <c r="H50" s="18">
        <v>15000</v>
      </c>
    </row>
    <row r="51" spans="6:8">
      <c r="F51" s="16">
        <v>45931</v>
      </c>
      <c r="G51" s="6" t="s">
        <v>464</v>
      </c>
      <c r="H51" s="18">
        <v>15000</v>
      </c>
    </row>
    <row r="52" spans="6:8">
      <c r="F52" s="16">
        <v>45962</v>
      </c>
      <c r="G52" s="6" t="s">
        <v>465</v>
      </c>
      <c r="H52" s="18">
        <v>15000</v>
      </c>
    </row>
    <row r="53" spans="6:8">
      <c r="F53" s="17">
        <v>45992</v>
      </c>
      <c r="G53" s="7" t="s">
        <v>466</v>
      </c>
      <c r="H53" s="19">
        <v>15000</v>
      </c>
    </row>
  </sheetData>
  <mergeCells count="6">
    <mergeCell ref="A15:D15"/>
    <mergeCell ref="A1:M1"/>
    <mergeCell ref="A2:M2"/>
    <mergeCell ref="A4:D4"/>
    <mergeCell ref="F4:H4"/>
    <mergeCell ref="J4:M4"/>
  </mergeCells>
  <hyperlinks>
    <hyperlink ref="J1" location="Cover!A1" tooltip="Back to Cover" display="← Back to Cover" xr:uid="{9B9562BD-3EC8-4662-A523-EDBAFA5BAAF6}"/>
    <hyperlink ref="N4" location="Cover!A1" tooltip="Back to Cover" display="← Back to Cover" xr:uid="{8D7E5A22-9F91-4E7E-BCEA-B5C62C0ECDB6}"/>
  </hyperlinks>
  <pageMargins left="0.7" right="0.7" top="0.75" bottom="0.75" header="0.3" footer="0.3"/>
  <drawing r:id="rId1"/>
  <legacy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100-000000000000}">
          <x14:formula1>
            <xm:f>Budget!$C$7:$C$38</xm:f>
          </x14:formula1>
          <xm:sqref>K6:K24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N41"/>
  <sheetViews>
    <sheetView showGridLines="0" workbookViewId="0">
      <selection activeCell="A2" sqref="A2:F2"/>
    </sheetView>
  </sheetViews>
  <sheetFormatPr defaultRowHeight="13.5"/>
  <cols>
    <col min="1" max="1" width="12" customWidth="1"/>
    <col min="2" max="2" width="34" customWidth="1"/>
    <col min="3" max="4" width="26" customWidth="1"/>
    <col min="5" max="5" width="10" customWidth="1"/>
    <col min="6" max="6" width="30" customWidth="1"/>
  </cols>
  <sheetData>
    <row r="1" spans="1:14" ht="30" customHeight="1">
      <c r="A1" s="146" t="s">
        <v>467</v>
      </c>
      <c r="B1" s="147"/>
      <c r="C1" s="147"/>
      <c r="D1" s="147"/>
      <c r="E1" s="147"/>
      <c r="F1" s="147"/>
      <c r="J1" s="124" t="s">
        <v>99</v>
      </c>
      <c r="N1" s="125"/>
    </row>
    <row r="2" spans="1:14" ht="28.15" customHeight="1">
      <c r="A2" s="150" t="s">
        <v>468</v>
      </c>
      <c r="B2" s="147"/>
      <c r="C2" s="147"/>
      <c r="D2" s="147"/>
      <c r="E2" s="147"/>
      <c r="F2" s="147"/>
    </row>
    <row r="4" spans="1:14" ht="13.9">
      <c r="N4" s="123" t="s">
        <v>99</v>
      </c>
    </row>
    <row r="5" spans="1:14" ht="30" customHeight="1">
      <c r="A5" s="2" t="s">
        <v>469</v>
      </c>
      <c r="B5" s="3" t="s">
        <v>470</v>
      </c>
      <c r="C5" s="3" t="s">
        <v>471</v>
      </c>
      <c r="D5" s="3" t="s">
        <v>375</v>
      </c>
      <c r="E5" s="3" t="s">
        <v>418</v>
      </c>
      <c r="F5" s="4" t="s">
        <v>16</v>
      </c>
    </row>
    <row r="6" spans="1:14">
      <c r="A6" s="5" t="s">
        <v>472</v>
      </c>
      <c r="B6" s="5" t="s">
        <v>473</v>
      </c>
      <c r="C6" s="5" t="s">
        <v>310</v>
      </c>
      <c r="D6" s="20" t="s">
        <v>310</v>
      </c>
      <c r="E6" s="20" t="s">
        <v>209</v>
      </c>
      <c r="F6" s="5" t="s">
        <v>474</v>
      </c>
    </row>
    <row r="7" spans="1:14">
      <c r="A7" s="6" t="s">
        <v>475</v>
      </c>
      <c r="B7" s="6" t="s">
        <v>476</v>
      </c>
      <c r="C7" s="6" t="s">
        <v>323</v>
      </c>
      <c r="D7" s="21" t="s">
        <v>323</v>
      </c>
      <c r="E7" s="21" t="s">
        <v>209</v>
      </c>
      <c r="F7" s="6" t="s">
        <v>474</v>
      </c>
    </row>
    <row r="8" spans="1:14">
      <c r="A8" s="6" t="s">
        <v>477</v>
      </c>
      <c r="B8" s="6" t="s">
        <v>478</v>
      </c>
      <c r="C8" s="6" t="s">
        <v>325</v>
      </c>
      <c r="D8" s="21" t="s">
        <v>325</v>
      </c>
      <c r="E8" s="21" t="s">
        <v>209</v>
      </c>
      <c r="F8" s="6" t="s">
        <v>474</v>
      </c>
    </row>
    <row r="9" spans="1:14">
      <c r="A9" s="6" t="s">
        <v>479</v>
      </c>
      <c r="B9" s="6" t="s">
        <v>480</v>
      </c>
      <c r="C9" s="6" t="s">
        <v>325</v>
      </c>
      <c r="D9" s="21" t="s">
        <v>325</v>
      </c>
      <c r="E9" s="21" t="s">
        <v>209</v>
      </c>
      <c r="F9" s="6" t="s">
        <v>474</v>
      </c>
    </row>
    <row r="10" spans="1:14">
      <c r="A10" s="6" t="s">
        <v>481</v>
      </c>
      <c r="B10" s="6" t="s">
        <v>482</v>
      </c>
      <c r="C10" s="6" t="s">
        <v>316</v>
      </c>
      <c r="D10" s="21" t="s">
        <v>316</v>
      </c>
      <c r="E10" s="21" t="s">
        <v>209</v>
      </c>
      <c r="F10" s="6" t="s">
        <v>474</v>
      </c>
    </row>
    <row r="11" spans="1:14">
      <c r="A11" s="6" t="s">
        <v>483</v>
      </c>
      <c r="B11" s="6" t="s">
        <v>484</v>
      </c>
      <c r="C11" s="6" t="s">
        <v>305</v>
      </c>
      <c r="D11" s="21" t="s">
        <v>305</v>
      </c>
      <c r="E11" s="21" t="s">
        <v>209</v>
      </c>
      <c r="F11" s="6" t="s">
        <v>474</v>
      </c>
    </row>
    <row r="12" spans="1:14">
      <c r="A12" s="6" t="s">
        <v>485</v>
      </c>
      <c r="B12" s="6" t="s">
        <v>486</v>
      </c>
      <c r="C12" s="6" t="s">
        <v>305</v>
      </c>
      <c r="D12" s="21" t="s">
        <v>305</v>
      </c>
      <c r="E12" s="21" t="s">
        <v>209</v>
      </c>
      <c r="F12" s="6" t="s">
        <v>474</v>
      </c>
    </row>
    <row r="13" spans="1:14">
      <c r="A13" s="6" t="s">
        <v>487</v>
      </c>
      <c r="B13" s="6" t="s">
        <v>488</v>
      </c>
      <c r="C13" s="6" t="s">
        <v>319</v>
      </c>
      <c r="D13" s="21" t="s">
        <v>319</v>
      </c>
      <c r="E13" s="21" t="s">
        <v>209</v>
      </c>
      <c r="F13" s="6" t="s">
        <v>474</v>
      </c>
    </row>
    <row r="14" spans="1:14">
      <c r="A14" s="6" t="s">
        <v>489</v>
      </c>
      <c r="B14" s="6" t="s">
        <v>490</v>
      </c>
      <c r="C14" s="6" t="s">
        <v>319</v>
      </c>
      <c r="D14" s="21" t="s">
        <v>319</v>
      </c>
      <c r="E14" s="21" t="s">
        <v>209</v>
      </c>
      <c r="F14" s="6" t="s">
        <v>474</v>
      </c>
    </row>
    <row r="15" spans="1:14">
      <c r="A15" s="6" t="s">
        <v>491</v>
      </c>
      <c r="B15" s="6" t="s">
        <v>492</v>
      </c>
      <c r="C15" s="6" t="s">
        <v>319</v>
      </c>
      <c r="D15" s="21" t="s">
        <v>319</v>
      </c>
      <c r="E15" s="21" t="s">
        <v>209</v>
      </c>
      <c r="F15" s="6" t="s">
        <v>474</v>
      </c>
    </row>
    <row r="16" spans="1:14">
      <c r="A16" s="6" t="s">
        <v>493</v>
      </c>
      <c r="B16" s="6" t="s">
        <v>494</v>
      </c>
      <c r="C16" s="6" t="s">
        <v>312</v>
      </c>
      <c r="D16" s="21" t="s">
        <v>312</v>
      </c>
      <c r="E16" s="21" t="s">
        <v>209</v>
      </c>
      <c r="F16" s="6" t="s">
        <v>474</v>
      </c>
    </row>
    <row r="17" spans="1:6">
      <c r="A17" s="6" t="s">
        <v>495</v>
      </c>
      <c r="B17" s="6" t="s">
        <v>496</v>
      </c>
      <c r="C17" s="6" t="s">
        <v>314</v>
      </c>
      <c r="D17" s="21" t="s">
        <v>314</v>
      </c>
      <c r="E17" s="21" t="s">
        <v>209</v>
      </c>
      <c r="F17" s="6" t="s">
        <v>474</v>
      </c>
    </row>
    <row r="18" spans="1:6">
      <c r="A18" s="6" t="s">
        <v>497</v>
      </c>
      <c r="B18" s="6" t="s">
        <v>498</v>
      </c>
      <c r="C18" s="6" t="s">
        <v>301</v>
      </c>
      <c r="D18" s="21" t="s">
        <v>301</v>
      </c>
      <c r="E18" s="21" t="s">
        <v>209</v>
      </c>
      <c r="F18" s="6" t="s">
        <v>474</v>
      </c>
    </row>
    <row r="19" spans="1:6">
      <c r="A19" s="6" t="s">
        <v>499</v>
      </c>
      <c r="B19" s="6" t="s">
        <v>500</v>
      </c>
      <c r="C19" s="6" t="s">
        <v>119</v>
      </c>
      <c r="D19" s="21" t="s">
        <v>119</v>
      </c>
      <c r="E19" s="21" t="s">
        <v>209</v>
      </c>
      <c r="F19" s="6" t="s">
        <v>474</v>
      </c>
    </row>
    <row r="20" spans="1:6">
      <c r="A20" s="6" t="s">
        <v>501</v>
      </c>
      <c r="B20" s="6" t="s">
        <v>502</v>
      </c>
      <c r="C20" s="6" t="s">
        <v>119</v>
      </c>
      <c r="D20" s="21" t="s">
        <v>119</v>
      </c>
      <c r="E20" s="21" t="s">
        <v>209</v>
      </c>
      <c r="F20" s="6" t="s">
        <v>474</v>
      </c>
    </row>
    <row r="21" spans="1:6">
      <c r="A21" s="6" t="s">
        <v>503</v>
      </c>
      <c r="B21" s="6" t="s">
        <v>122</v>
      </c>
      <c r="C21" s="6" t="s">
        <v>122</v>
      </c>
      <c r="D21" s="21" t="s">
        <v>122</v>
      </c>
      <c r="E21" s="21" t="s">
        <v>209</v>
      </c>
      <c r="F21" s="6" t="s">
        <v>474</v>
      </c>
    </row>
    <row r="22" spans="1:6">
      <c r="A22" s="6" t="s">
        <v>504</v>
      </c>
      <c r="B22" s="6" t="s">
        <v>358</v>
      </c>
      <c r="C22" s="6" t="s">
        <v>358</v>
      </c>
      <c r="D22" s="21" t="s">
        <v>358</v>
      </c>
      <c r="E22" s="21" t="s">
        <v>209</v>
      </c>
      <c r="F22" s="6" t="s">
        <v>474</v>
      </c>
    </row>
    <row r="23" spans="1:6">
      <c r="A23" s="6" t="s">
        <v>505</v>
      </c>
      <c r="B23" s="6" t="s">
        <v>506</v>
      </c>
      <c r="C23" s="6" t="s">
        <v>506</v>
      </c>
      <c r="D23" s="21" t="s">
        <v>355</v>
      </c>
      <c r="E23" s="21" t="s">
        <v>209</v>
      </c>
      <c r="F23" s="6" t="s">
        <v>474</v>
      </c>
    </row>
    <row r="24" spans="1:6">
      <c r="A24" s="6" t="s">
        <v>507</v>
      </c>
      <c r="B24" s="6" t="s">
        <v>422</v>
      </c>
      <c r="C24" s="6" t="s">
        <v>422</v>
      </c>
      <c r="D24" s="21" t="s">
        <v>329</v>
      </c>
      <c r="E24" s="21" t="s">
        <v>209</v>
      </c>
      <c r="F24" s="6" t="s">
        <v>474</v>
      </c>
    </row>
    <row r="25" spans="1:6">
      <c r="A25" s="6" t="s">
        <v>508</v>
      </c>
      <c r="B25" s="6" t="s">
        <v>360</v>
      </c>
      <c r="C25" s="6" t="s">
        <v>360</v>
      </c>
      <c r="D25" s="21" t="s">
        <v>360</v>
      </c>
      <c r="E25" s="21" t="s">
        <v>209</v>
      </c>
      <c r="F25" s="6" t="s">
        <v>474</v>
      </c>
    </row>
    <row r="26" spans="1:6">
      <c r="A26" s="6" t="s">
        <v>509</v>
      </c>
      <c r="B26" s="6" t="s">
        <v>510</v>
      </c>
      <c r="C26" s="6" t="s">
        <v>342</v>
      </c>
      <c r="D26" s="21" t="s">
        <v>342</v>
      </c>
      <c r="E26" s="21" t="s">
        <v>209</v>
      </c>
      <c r="F26" s="6" t="s">
        <v>474</v>
      </c>
    </row>
    <row r="27" spans="1:6">
      <c r="A27" s="6" t="s">
        <v>511</v>
      </c>
      <c r="B27" s="6" t="s">
        <v>512</v>
      </c>
      <c r="C27" s="6" t="s">
        <v>284</v>
      </c>
      <c r="D27" s="21" t="s">
        <v>284</v>
      </c>
      <c r="E27" s="21" t="s">
        <v>209</v>
      </c>
      <c r="F27" s="6" t="s">
        <v>474</v>
      </c>
    </row>
    <row r="28" spans="1:6">
      <c r="A28" s="6" t="s">
        <v>513</v>
      </c>
      <c r="B28" s="6" t="s">
        <v>514</v>
      </c>
      <c r="C28" s="6" t="s">
        <v>288</v>
      </c>
      <c r="D28" s="21" t="s">
        <v>288</v>
      </c>
      <c r="E28" s="21" t="s">
        <v>209</v>
      </c>
      <c r="F28" s="6" t="s">
        <v>474</v>
      </c>
    </row>
    <row r="29" spans="1:6">
      <c r="A29" s="6" t="s">
        <v>515</v>
      </c>
      <c r="B29" s="6" t="s">
        <v>516</v>
      </c>
      <c r="C29" s="6" t="s">
        <v>290</v>
      </c>
      <c r="D29" s="21" t="s">
        <v>290</v>
      </c>
      <c r="E29" s="21" t="s">
        <v>209</v>
      </c>
      <c r="F29" s="6" t="s">
        <v>474</v>
      </c>
    </row>
    <row r="30" spans="1:6">
      <c r="A30" s="6" t="s">
        <v>517</v>
      </c>
      <c r="B30" s="6" t="s">
        <v>518</v>
      </c>
      <c r="C30" s="6" t="s">
        <v>292</v>
      </c>
      <c r="D30" s="21" t="s">
        <v>292</v>
      </c>
      <c r="E30" s="21" t="s">
        <v>209</v>
      </c>
      <c r="F30" s="6" t="s">
        <v>474</v>
      </c>
    </row>
    <row r="31" spans="1:6">
      <c r="A31" s="6" t="s">
        <v>519</v>
      </c>
      <c r="B31" s="6" t="s">
        <v>520</v>
      </c>
      <c r="C31" s="6" t="s">
        <v>294</v>
      </c>
      <c r="D31" s="21" t="s">
        <v>294</v>
      </c>
      <c r="E31" s="21" t="s">
        <v>209</v>
      </c>
      <c r="F31" s="6" t="s">
        <v>474</v>
      </c>
    </row>
    <row r="32" spans="1:6">
      <c r="A32" s="6" t="s">
        <v>521</v>
      </c>
      <c r="B32" s="6" t="s">
        <v>522</v>
      </c>
      <c r="C32" s="6" t="s">
        <v>296</v>
      </c>
      <c r="D32" s="21" t="s">
        <v>296</v>
      </c>
      <c r="E32" s="21" t="s">
        <v>209</v>
      </c>
      <c r="F32" s="6" t="s">
        <v>474</v>
      </c>
    </row>
    <row r="33" spans="1:6">
      <c r="A33" s="6" t="s">
        <v>523</v>
      </c>
      <c r="B33" s="6" t="s">
        <v>524</v>
      </c>
      <c r="C33" s="6" t="s">
        <v>305</v>
      </c>
      <c r="D33" s="21" t="s">
        <v>305</v>
      </c>
      <c r="E33" s="21" t="s">
        <v>209</v>
      </c>
      <c r="F33" s="6" t="s">
        <v>474</v>
      </c>
    </row>
    <row r="34" spans="1:6">
      <c r="A34" s="6" t="s">
        <v>525</v>
      </c>
      <c r="B34" s="6" t="s">
        <v>526</v>
      </c>
      <c r="C34" s="6" t="s">
        <v>308</v>
      </c>
      <c r="D34" s="21" t="s">
        <v>308</v>
      </c>
      <c r="E34" s="21" t="s">
        <v>209</v>
      </c>
      <c r="F34" s="6" t="s">
        <v>474</v>
      </c>
    </row>
    <row r="35" spans="1:6">
      <c r="A35" s="6" t="s">
        <v>527</v>
      </c>
      <c r="B35" s="6" t="s">
        <v>528</v>
      </c>
      <c r="C35" s="6" t="s">
        <v>529</v>
      </c>
      <c r="D35" s="21" t="s">
        <v>327</v>
      </c>
      <c r="E35" s="21" t="s">
        <v>209</v>
      </c>
      <c r="F35" s="6" t="s">
        <v>474</v>
      </c>
    </row>
    <row r="36" spans="1:6">
      <c r="A36" s="6" t="s">
        <v>530</v>
      </c>
      <c r="B36" s="6" t="s">
        <v>120</v>
      </c>
      <c r="C36" s="6" t="s">
        <v>120</v>
      </c>
      <c r="D36" s="21" t="s">
        <v>120</v>
      </c>
      <c r="E36" s="21" t="s">
        <v>209</v>
      </c>
      <c r="F36" s="6" t="s">
        <v>474</v>
      </c>
    </row>
    <row r="37" spans="1:6">
      <c r="A37" s="6" t="s">
        <v>531</v>
      </c>
      <c r="B37" s="6" t="s">
        <v>332</v>
      </c>
      <c r="C37" s="6" t="s">
        <v>332</v>
      </c>
      <c r="D37" s="21" t="s">
        <v>332</v>
      </c>
      <c r="E37" s="21" t="s">
        <v>209</v>
      </c>
      <c r="F37" s="6" t="s">
        <v>474</v>
      </c>
    </row>
    <row r="38" spans="1:6">
      <c r="A38" s="6" t="s">
        <v>532</v>
      </c>
      <c r="B38" s="6" t="s">
        <v>533</v>
      </c>
      <c r="C38" s="6" t="s">
        <v>335</v>
      </c>
      <c r="D38" s="21" t="s">
        <v>335</v>
      </c>
      <c r="E38" s="21" t="s">
        <v>209</v>
      </c>
      <c r="F38" s="6" t="s">
        <v>474</v>
      </c>
    </row>
    <row r="39" spans="1:6">
      <c r="A39" s="6" t="s">
        <v>534</v>
      </c>
      <c r="B39" s="6" t="s">
        <v>535</v>
      </c>
      <c r="C39" s="6" t="s">
        <v>321</v>
      </c>
      <c r="D39" s="21" t="s">
        <v>321</v>
      </c>
      <c r="E39" s="21" t="s">
        <v>209</v>
      </c>
      <c r="F39" s="6" t="s">
        <v>474</v>
      </c>
    </row>
    <row r="40" spans="1:6">
      <c r="A40" s="6" t="s">
        <v>536</v>
      </c>
      <c r="B40" s="6" t="s">
        <v>537</v>
      </c>
      <c r="C40" s="6" t="s">
        <v>537</v>
      </c>
      <c r="D40" s="21" t="s">
        <v>345</v>
      </c>
      <c r="E40" s="21" t="s">
        <v>209</v>
      </c>
      <c r="F40" s="6" t="s">
        <v>474</v>
      </c>
    </row>
    <row r="41" spans="1:6">
      <c r="A41" s="7" t="s">
        <v>538</v>
      </c>
      <c r="B41" s="7" t="s">
        <v>539</v>
      </c>
      <c r="C41" s="7" t="s">
        <v>539</v>
      </c>
      <c r="D41" s="22" t="s">
        <v>348</v>
      </c>
      <c r="E41" s="22" t="s">
        <v>209</v>
      </c>
      <c r="F41" s="7" t="s">
        <v>474</v>
      </c>
    </row>
  </sheetData>
  <mergeCells count="2">
    <mergeCell ref="A1:F1"/>
    <mergeCell ref="A2:F2"/>
  </mergeCells>
  <dataValidations count="1">
    <dataValidation type="list" sqref="E6:E41" xr:uid="{00000000-0002-0000-0300-000000000000}">
      <formula1>"Yes,No"</formula1>
    </dataValidation>
  </dataValidations>
  <hyperlinks>
    <hyperlink ref="J1" location="Cover!A1" tooltip="Back to Cover" display="← Back to Cover" xr:uid="{83C19675-7D66-41D4-9023-4D878F9A5D9E}"/>
    <hyperlink ref="N4" location="Cover!A1" tooltip="Back to Cover" display="← Back to Cover" xr:uid="{49C4E263-2F96-49DB-B5CE-58E620E79D49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N71"/>
  <sheetViews>
    <sheetView showGridLines="0" topLeftCell="B50" workbookViewId="0">
      <selection activeCell="H20" sqref="H20"/>
    </sheetView>
  </sheetViews>
  <sheetFormatPr defaultRowHeight="13.5"/>
  <cols>
    <col min="1" max="1" width="42" customWidth="1"/>
    <col min="2" max="3" width="18" customWidth="1"/>
    <col min="4" max="4" width="14" customWidth="1"/>
    <col min="5" max="5" width="65" customWidth="1"/>
    <col min="6" max="8" width="18" customWidth="1"/>
    <col min="9" max="10" width="20" customWidth="1"/>
    <col min="11" max="11" width="15" customWidth="1"/>
    <col min="12" max="13" width="18" customWidth="1"/>
  </cols>
  <sheetData>
    <row r="1" spans="1:14" ht="30" customHeight="1">
      <c r="A1" s="146" t="s">
        <v>540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25"/>
    </row>
    <row r="2" spans="1:14" ht="28.15" customHeight="1">
      <c r="A2" s="150" t="s">
        <v>541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4" spans="1:14" ht="13.9">
      <c r="A4" s="47" t="s">
        <v>542</v>
      </c>
      <c r="B4" s="48">
        <f>H8-G8+F8</f>
        <v>0</v>
      </c>
      <c r="C4" s="48" t="s">
        <v>543</v>
      </c>
      <c r="D4" s="48">
        <f>H71</f>
        <v>56809797.420000002</v>
      </c>
      <c r="E4" s="47"/>
      <c r="F4" s="47" t="s">
        <v>544</v>
      </c>
      <c r="G4" s="48">
        <f>SUM(F8:F71)</f>
        <v>2293666180.5999999</v>
      </c>
      <c r="H4" s="48" t="s">
        <v>545</v>
      </c>
      <c r="I4" s="48">
        <f>SUM(G8:G71)</f>
        <v>2350475978.02</v>
      </c>
      <c r="N4" s="123" t="s">
        <v>99</v>
      </c>
    </row>
    <row r="5" spans="1:14" ht="13.9">
      <c r="A5" s="47" t="s">
        <v>546</v>
      </c>
      <c r="B5" s="48">
        <f>B4+I4-G4</f>
        <v>56809797.420000076</v>
      </c>
      <c r="C5" s="48" t="s">
        <v>227</v>
      </c>
      <c r="D5" s="48">
        <f>B5-D4</f>
        <v>7.4505805969238281E-8</v>
      </c>
      <c r="E5" s="47"/>
      <c r="F5" s="47"/>
      <c r="G5" s="47"/>
      <c r="H5" s="47"/>
      <c r="I5" s="47"/>
    </row>
    <row r="7" spans="1:14" ht="30" customHeight="1">
      <c r="A7" s="2" t="s">
        <v>547</v>
      </c>
      <c r="B7" s="3" t="s">
        <v>548</v>
      </c>
      <c r="C7" s="3" t="s">
        <v>549</v>
      </c>
      <c r="D7" s="3" t="s">
        <v>550</v>
      </c>
      <c r="E7" s="3" t="s">
        <v>551</v>
      </c>
      <c r="F7" s="3" t="s">
        <v>552</v>
      </c>
      <c r="G7" s="3" t="s">
        <v>553</v>
      </c>
      <c r="H7" s="3" t="s">
        <v>554</v>
      </c>
      <c r="I7" s="3" t="s">
        <v>555</v>
      </c>
      <c r="J7" s="3" t="s">
        <v>556</v>
      </c>
      <c r="K7" s="3" t="s">
        <v>557</v>
      </c>
      <c r="L7" s="3" t="s">
        <v>558</v>
      </c>
      <c r="M7" s="4" t="s">
        <v>559</v>
      </c>
    </row>
    <row r="8" spans="1:14">
      <c r="A8" s="5" t="s">
        <v>560</v>
      </c>
      <c r="B8" s="41">
        <v>44924.570833333331</v>
      </c>
      <c r="C8" s="41">
        <v>44924.570833333331</v>
      </c>
      <c r="D8" s="5"/>
      <c r="E8" s="49" t="s">
        <v>561</v>
      </c>
      <c r="F8" s="44">
        <v>0</v>
      </c>
      <c r="G8" s="44">
        <v>157300000</v>
      </c>
      <c r="H8" s="44">
        <v>157300000</v>
      </c>
      <c r="I8" s="44">
        <v>514</v>
      </c>
      <c r="J8" s="44" t="s">
        <v>562</v>
      </c>
      <c r="K8" s="44" t="s">
        <v>209</v>
      </c>
      <c r="L8" s="44">
        <f t="shared" ref="L8:L39" si="0">G8-F8</f>
        <v>157300000</v>
      </c>
      <c r="M8" s="23" t="str">
        <f>IF(COUNTIF(Outflows!$E$7:$E$1000,J8)+COUNTIF(Inflows!$E$7:$E$1000,J8)&gt;0,"Matched","Unmatched")</f>
        <v>Unmatched</v>
      </c>
    </row>
    <row r="9" spans="1:14">
      <c r="A9" s="6" t="s">
        <v>560</v>
      </c>
      <c r="B9" s="42">
        <v>44926.999305555553</v>
      </c>
      <c r="C9" s="42">
        <v>44926.999305555553</v>
      </c>
      <c r="D9" s="6"/>
      <c r="E9" s="50" t="s">
        <v>563</v>
      </c>
      <c r="F9" s="45">
        <v>0</v>
      </c>
      <c r="G9" s="45">
        <v>1862.33</v>
      </c>
      <c r="H9" s="45">
        <v>157301862.33000001</v>
      </c>
      <c r="I9" s="45">
        <v>160</v>
      </c>
      <c r="J9" s="45" t="s">
        <v>564</v>
      </c>
      <c r="K9" s="45" t="s">
        <v>218</v>
      </c>
      <c r="L9" s="45">
        <f t="shared" si="0"/>
        <v>1862.33</v>
      </c>
      <c r="M9" s="24" t="str">
        <f>IF(COUNTIF(Outflows!$E$7:$E$1000,J9)+COUNTIF(Inflows!$E$7:$E$1000,J9)&gt;0,"Matched","Unmatched")</f>
        <v>Unmatched</v>
      </c>
    </row>
    <row r="10" spans="1:14">
      <c r="A10" s="6" t="s">
        <v>560</v>
      </c>
      <c r="B10" s="42">
        <v>44926.999305555553</v>
      </c>
      <c r="C10" s="42">
        <v>44926.999305555553</v>
      </c>
      <c r="D10" s="6"/>
      <c r="E10" s="50" t="s">
        <v>565</v>
      </c>
      <c r="F10" s="45">
        <v>372.47</v>
      </c>
      <c r="G10" s="45">
        <v>0</v>
      </c>
      <c r="H10" s="45">
        <v>157301489.86000001</v>
      </c>
      <c r="I10" s="45">
        <v>198</v>
      </c>
      <c r="J10" s="45" t="s">
        <v>566</v>
      </c>
      <c r="K10" s="45"/>
      <c r="L10" s="45">
        <f t="shared" si="0"/>
        <v>-372.47</v>
      </c>
      <c r="M10" s="24" t="str">
        <f>IF(COUNTIF(Outflows!$E$7:$E$1000,J10)+COUNTIF(Inflows!$E$7:$E$1000,J10)&gt;0,"Matched","Unmatched")</f>
        <v>Matched</v>
      </c>
    </row>
    <row r="11" spans="1:14">
      <c r="A11" s="6" t="s">
        <v>560</v>
      </c>
      <c r="B11" s="42">
        <v>44928.390972222223</v>
      </c>
      <c r="C11" s="42">
        <v>44928.390972222223</v>
      </c>
      <c r="D11" s="6"/>
      <c r="E11" s="50" t="s">
        <v>567</v>
      </c>
      <c r="F11" s="45">
        <v>275000</v>
      </c>
      <c r="G11" s="45">
        <v>0</v>
      </c>
      <c r="H11" s="45">
        <v>156751489.86000001</v>
      </c>
      <c r="I11" s="45">
        <v>438</v>
      </c>
      <c r="J11" s="45" t="s">
        <v>568</v>
      </c>
      <c r="K11" s="45"/>
      <c r="L11" s="45">
        <f t="shared" si="0"/>
        <v>-275000</v>
      </c>
      <c r="M11" s="24" t="str">
        <f>IF(COUNTIF(Outflows!$E$7:$E$1000,J11)+COUNTIF(Inflows!$E$7:$E$1000,J11)&gt;0,"Matched","Unmatched")</f>
        <v>Matched</v>
      </c>
    </row>
    <row r="12" spans="1:14">
      <c r="A12" s="6" t="s">
        <v>560</v>
      </c>
      <c r="B12" s="42">
        <v>44928.390972222223</v>
      </c>
      <c r="C12" s="42">
        <v>44928.390972222223</v>
      </c>
      <c r="D12" s="6"/>
      <c r="E12" s="50" t="s">
        <v>567</v>
      </c>
      <c r="F12" s="45">
        <v>275000</v>
      </c>
      <c r="G12" s="45">
        <v>0</v>
      </c>
      <c r="H12" s="45">
        <v>157026489.86000001</v>
      </c>
      <c r="I12" s="45">
        <v>438</v>
      </c>
      <c r="J12" s="45" t="s">
        <v>569</v>
      </c>
      <c r="K12" s="45"/>
      <c r="L12" s="45">
        <f t="shared" si="0"/>
        <v>-275000</v>
      </c>
      <c r="M12" s="24" t="str">
        <f>IF(COUNTIF(Outflows!$E$7:$E$1000,J12)+COUNTIF(Inflows!$E$7:$E$1000,J12)&gt;0,"Matched","Unmatched")</f>
        <v>Matched</v>
      </c>
    </row>
    <row r="13" spans="1:14" ht="24">
      <c r="A13" s="6" t="s">
        <v>560</v>
      </c>
      <c r="B13" s="42">
        <v>44928.568749999999</v>
      </c>
      <c r="C13" s="42">
        <v>44928.568749999999</v>
      </c>
      <c r="D13" s="6"/>
      <c r="E13" s="50" t="s">
        <v>570</v>
      </c>
      <c r="F13" s="45">
        <v>134472370</v>
      </c>
      <c r="G13" s="45">
        <v>0</v>
      </c>
      <c r="H13" s="45">
        <v>22279119.859999999</v>
      </c>
      <c r="I13" s="45">
        <v>63</v>
      </c>
      <c r="J13" s="45" t="s">
        <v>571</v>
      </c>
      <c r="K13" s="45"/>
      <c r="L13" s="45">
        <f t="shared" si="0"/>
        <v>-134472370</v>
      </c>
      <c r="M13" s="24" t="str">
        <f>IF(COUNTIF(Outflows!$E$7:$E$1000,J13)+COUNTIF(Inflows!$E$7:$E$1000,J13)&gt;0,"Matched","Unmatched")</f>
        <v>Matched</v>
      </c>
    </row>
    <row r="14" spans="1:14" ht="24">
      <c r="A14" s="6" t="s">
        <v>560</v>
      </c>
      <c r="B14" s="42">
        <v>44928.568749999999</v>
      </c>
      <c r="C14" s="42">
        <v>44928.568749999999</v>
      </c>
      <c r="D14" s="6"/>
      <c r="E14" s="50" t="s">
        <v>570</v>
      </c>
      <c r="F14" s="45">
        <v>2900</v>
      </c>
      <c r="G14" s="45">
        <v>0</v>
      </c>
      <c r="H14" s="45">
        <v>22276219.859999999</v>
      </c>
      <c r="I14" s="45">
        <v>803</v>
      </c>
      <c r="J14" s="45" t="s">
        <v>571</v>
      </c>
      <c r="K14" s="45"/>
      <c r="L14" s="45">
        <f t="shared" si="0"/>
        <v>-2900</v>
      </c>
      <c r="M14" s="24" t="str">
        <f>IF(COUNTIF(Outflows!$E$7:$E$1000,J14)+COUNTIF(Inflows!$E$7:$E$1000,J14)&gt;0,"Matched","Unmatched")</f>
        <v>Matched</v>
      </c>
    </row>
    <row r="15" spans="1:14">
      <c r="A15" s="6" t="s">
        <v>560</v>
      </c>
      <c r="B15" s="42">
        <v>44944.581944444442</v>
      </c>
      <c r="C15" s="42">
        <v>44944.581944444442</v>
      </c>
      <c r="D15" s="6"/>
      <c r="E15" s="50" t="s">
        <v>572</v>
      </c>
      <c r="F15" s="45">
        <v>0</v>
      </c>
      <c r="G15" s="45">
        <v>105385000</v>
      </c>
      <c r="H15" s="45">
        <v>127661219.86</v>
      </c>
      <c r="I15" s="45">
        <v>514</v>
      </c>
      <c r="J15" s="45" t="s">
        <v>573</v>
      </c>
      <c r="K15" s="45" t="s">
        <v>209</v>
      </c>
      <c r="L15" s="45">
        <f t="shared" si="0"/>
        <v>105385000</v>
      </c>
      <c r="M15" s="24" t="str">
        <f>IF(COUNTIF(Outflows!$E$7:$E$1000,J15)+COUNTIF(Inflows!$E$7:$E$1000,J15)&gt;0,"Matched","Unmatched")</f>
        <v>Unmatched</v>
      </c>
    </row>
    <row r="16" spans="1:14" ht="24">
      <c r="A16" s="6" t="s">
        <v>560</v>
      </c>
      <c r="B16" s="42">
        <v>44945.353472210649</v>
      </c>
      <c r="C16" s="42">
        <v>44945.353472210649</v>
      </c>
      <c r="D16" s="6"/>
      <c r="E16" s="50" t="s">
        <v>574</v>
      </c>
      <c r="F16" s="45">
        <v>104462500</v>
      </c>
      <c r="G16" s="45">
        <v>0</v>
      </c>
      <c r="H16" s="45">
        <v>23198719.859999999</v>
      </c>
      <c r="I16" s="45">
        <v>63</v>
      </c>
      <c r="J16" s="45" t="s">
        <v>575</v>
      </c>
      <c r="K16" s="45"/>
      <c r="L16" s="45">
        <f t="shared" si="0"/>
        <v>-104462500</v>
      </c>
      <c r="M16" s="24" t="str">
        <f>IF(COUNTIF(Outflows!$E$7:$E$1000,J16)+COUNTIF(Inflows!$E$7:$E$1000,J16)&gt;0,"Matched","Unmatched")</f>
        <v>Matched</v>
      </c>
    </row>
    <row r="17" spans="1:13" ht="24">
      <c r="A17" s="6" t="s">
        <v>560</v>
      </c>
      <c r="B17" s="42">
        <v>44945.353472210649</v>
      </c>
      <c r="C17" s="42">
        <v>44945.353472210649</v>
      </c>
      <c r="D17" s="6"/>
      <c r="E17" s="50" t="s">
        <v>574</v>
      </c>
      <c r="F17" s="45">
        <v>2900</v>
      </c>
      <c r="G17" s="45">
        <v>0</v>
      </c>
      <c r="H17" s="45">
        <v>23195819.859999999</v>
      </c>
      <c r="I17" s="45">
        <v>803</v>
      </c>
      <c r="J17" s="45" t="s">
        <v>575</v>
      </c>
      <c r="K17" s="45"/>
      <c r="L17" s="45">
        <f t="shared" si="0"/>
        <v>-2900</v>
      </c>
      <c r="M17" s="24" t="str">
        <f>IF(COUNTIF(Outflows!$E$7:$E$1000,J17)+COUNTIF(Inflows!$E$7:$E$1000,J17)&gt;0,"Matched","Unmatched")</f>
        <v>Matched</v>
      </c>
    </row>
    <row r="18" spans="1:13">
      <c r="A18" s="6" t="s">
        <v>560</v>
      </c>
      <c r="B18" s="42">
        <v>44946.999305555553</v>
      </c>
      <c r="C18" s="42">
        <v>44946.999305555553</v>
      </c>
      <c r="D18" s="6"/>
      <c r="E18" s="50" t="s">
        <v>576</v>
      </c>
      <c r="F18" s="45">
        <v>30000</v>
      </c>
      <c r="G18" s="45">
        <v>0</v>
      </c>
      <c r="H18" s="45">
        <v>23165819.859999999</v>
      </c>
      <c r="I18" s="45">
        <v>480</v>
      </c>
      <c r="J18" s="45" t="s">
        <v>577</v>
      </c>
      <c r="K18" s="45"/>
      <c r="L18" s="45">
        <f t="shared" si="0"/>
        <v>-30000</v>
      </c>
      <c r="M18" s="24" t="str">
        <f>IF(COUNTIF(Outflows!$E$7:$E$1000,J18)+COUNTIF(Inflows!$E$7:$E$1000,J18)&gt;0,"Matched","Unmatched")</f>
        <v>Matched</v>
      </c>
    </row>
    <row r="19" spans="1:13">
      <c r="A19" s="6" t="s">
        <v>560</v>
      </c>
      <c r="B19" s="42">
        <v>44952.584722222222</v>
      </c>
      <c r="C19" s="42">
        <v>44952.584722222222</v>
      </c>
      <c r="D19" s="6"/>
      <c r="E19" s="50" t="s">
        <v>578</v>
      </c>
      <c r="F19" s="45">
        <v>0</v>
      </c>
      <c r="G19" s="45">
        <v>82087500</v>
      </c>
      <c r="H19" s="45">
        <v>105253319.86</v>
      </c>
      <c r="I19" s="45">
        <v>514</v>
      </c>
      <c r="J19" s="45" t="s">
        <v>579</v>
      </c>
      <c r="K19" s="45" t="s">
        <v>209</v>
      </c>
      <c r="L19" s="45">
        <f t="shared" si="0"/>
        <v>82087500</v>
      </c>
      <c r="M19" s="24" t="str">
        <f>IF(COUNTIF(Outflows!$E$7:$E$1000,J19)+COUNTIF(Inflows!$E$7:$E$1000,J19)&gt;0,"Matched","Unmatched")</f>
        <v>Unmatched</v>
      </c>
    </row>
    <row r="20" spans="1:13" ht="24">
      <c r="A20" s="6" t="s">
        <v>560</v>
      </c>
      <c r="B20" s="42">
        <v>44953.570833333331</v>
      </c>
      <c r="C20" s="42">
        <v>44953.570833333331</v>
      </c>
      <c r="D20" s="6"/>
      <c r="E20" s="50" t="s">
        <v>580</v>
      </c>
      <c r="F20" s="45">
        <v>79730666</v>
      </c>
      <c r="G20" s="45">
        <v>0</v>
      </c>
      <c r="H20" s="45">
        <v>25522653.859999999</v>
      </c>
      <c r="I20" s="45">
        <v>63</v>
      </c>
      <c r="J20" s="45" t="s">
        <v>581</v>
      </c>
      <c r="K20" s="45"/>
      <c r="L20" s="45">
        <f t="shared" si="0"/>
        <v>-79730666</v>
      </c>
      <c r="M20" s="24" t="str">
        <f>IF(COUNTIF(Outflows!$E$7:$E$1000,J20)+COUNTIF(Inflows!$E$7:$E$1000,J20)&gt;0,"Matched","Unmatched")</f>
        <v>Matched</v>
      </c>
    </row>
    <row r="21" spans="1:13" ht="24">
      <c r="A21" s="6" t="s">
        <v>560</v>
      </c>
      <c r="B21" s="42">
        <v>44953.570833333331</v>
      </c>
      <c r="C21" s="42">
        <v>44953.570833333331</v>
      </c>
      <c r="D21" s="6"/>
      <c r="E21" s="50" t="s">
        <v>580</v>
      </c>
      <c r="F21" s="45">
        <v>2900</v>
      </c>
      <c r="G21" s="45">
        <v>0</v>
      </c>
      <c r="H21" s="45">
        <v>25519753.859999999</v>
      </c>
      <c r="I21" s="45">
        <v>803</v>
      </c>
      <c r="J21" s="45" t="s">
        <v>581</v>
      </c>
      <c r="K21" s="45"/>
      <c r="L21" s="45">
        <f t="shared" si="0"/>
        <v>-2900</v>
      </c>
      <c r="M21" s="24" t="str">
        <f>IF(COUNTIF(Outflows!$E$7:$E$1000,J21)+COUNTIF(Inflows!$E$7:$E$1000,J21)&gt;0,"Matched","Unmatched")</f>
        <v>Matched</v>
      </c>
    </row>
    <row r="22" spans="1:13">
      <c r="A22" s="6" t="s">
        <v>560</v>
      </c>
      <c r="B22" s="42">
        <v>44977.999305555553</v>
      </c>
      <c r="C22" s="42">
        <v>44977.999305555553</v>
      </c>
      <c r="D22" s="6"/>
      <c r="E22" s="50" t="s">
        <v>576</v>
      </c>
      <c r="F22" s="45">
        <v>30000</v>
      </c>
      <c r="G22" s="45">
        <v>0</v>
      </c>
      <c r="H22" s="45">
        <v>25489753.859999999</v>
      </c>
      <c r="I22" s="45">
        <v>480</v>
      </c>
      <c r="J22" s="45" t="s">
        <v>582</v>
      </c>
      <c r="K22" s="45"/>
      <c r="L22" s="45">
        <f t="shared" si="0"/>
        <v>-30000</v>
      </c>
      <c r="M22" s="24" t="str">
        <f>IF(COUNTIF(Outflows!$E$7:$E$1000,J22)+COUNTIF(Inflows!$E$7:$E$1000,J22)&gt;0,"Matched","Unmatched")</f>
        <v>Matched</v>
      </c>
    </row>
    <row r="23" spans="1:13">
      <c r="A23" s="6" t="s">
        <v>560</v>
      </c>
      <c r="B23" s="42">
        <v>45001.459027777775</v>
      </c>
      <c r="C23" s="42">
        <v>45001.459027777775</v>
      </c>
      <c r="D23" s="6"/>
      <c r="E23" s="50" t="s">
        <v>578</v>
      </c>
      <c r="F23" s="45">
        <v>0</v>
      </c>
      <c r="G23" s="45">
        <v>154320000</v>
      </c>
      <c r="H23" s="45">
        <v>179809753.86000001</v>
      </c>
      <c r="I23" s="45">
        <v>514</v>
      </c>
      <c r="J23" s="45" t="s">
        <v>583</v>
      </c>
      <c r="K23" s="45" t="s">
        <v>209</v>
      </c>
      <c r="L23" s="45">
        <f t="shared" si="0"/>
        <v>154320000</v>
      </c>
      <c r="M23" s="24" t="str">
        <f>IF(COUNTIF(Outflows!$E$7:$E$1000,J23)+COUNTIF(Inflows!$E$7:$E$1000,J23)&gt;0,"Matched","Unmatched")</f>
        <v>Unmatched</v>
      </c>
    </row>
    <row r="24" spans="1:13" ht="24">
      <c r="A24" s="6" t="s">
        <v>560</v>
      </c>
      <c r="B24" s="42">
        <v>45001.463888888888</v>
      </c>
      <c r="C24" s="42">
        <v>45001.463888888888</v>
      </c>
      <c r="D24" s="6"/>
      <c r="E24" s="50" t="s">
        <v>584</v>
      </c>
      <c r="F24" s="45">
        <v>2900</v>
      </c>
      <c r="G24" s="45">
        <v>0</v>
      </c>
      <c r="H24" s="45">
        <v>35829246.859999999</v>
      </c>
      <c r="I24" s="45">
        <v>803</v>
      </c>
      <c r="J24" s="45" t="s">
        <v>585</v>
      </c>
      <c r="K24" s="45"/>
      <c r="L24" s="45">
        <f t="shared" si="0"/>
        <v>-2900</v>
      </c>
      <c r="M24" s="24" t="str">
        <f>IF(COUNTIF(Outflows!$E$7:$E$1000,J24)+COUNTIF(Inflows!$E$7:$E$1000,J24)&gt;0,"Matched","Unmatched")</f>
        <v>Matched</v>
      </c>
    </row>
    <row r="25" spans="1:13" ht="24">
      <c r="A25" s="6" t="s">
        <v>560</v>
      </c>
      <c r="B25" s="42">
        <v>45001.463888888888</v>
      </c>
      <c r="C25" s="42">
        <v>45001.463888888888</v>
      </c>
      <c r="D25" s="6"/>
      <c r="E25" s="50" t="s">
        <v>584</v>
      </c>
      <c r="F25" s="45">
        <v>143977607</v>
      </c>
      <c r="G25" s="45">
        <v>0</v>
      </c>
      <c r="H25" s="45">
        <v>35832146.859999999</v>
      </c>
      <c r="I25" s="45">
        <v>63</v>
      </c>
      <c r="J25" s="45" t="s">
        <v>585</v>
      </c>
      <c r="K25" s="45"/>
      <c r="L25" s="45">
        <f t="shared" si="0"/>
        <v>-143977607</v>
      </c>
      <c r="M25" s="24" t="str">
        <f>IF(COUNTIF(Outflows!$E$7:$E$1000,J25)+COUNTIF(Inflows!$E$7:$E$1000,J25)&gt;0,"Matched","Unmatched")</f>
        <v>Matched</v>
      </c>
    </row>
    <row r="26" spans="1:13">
      <c r="A26" s="6" t="s">
        <v>560</v>
      </c>
      <c r="B26" s="42">
        <v>45005.999305555553</v>
      </c>
      <c r="C26" s="42">
        <v>45005.999305555553</v>
      </c>
      <c r="D26" s="6"/>
      <c r="E26" s="50" t="s">
        <v>576</v>
      </c>
      <c r="F26" s="45">
        <v>30000</v>
      </c>
      <c r="G26" s="45">
        <v>0</v>
      </c>
      <c r="H26" s="45">
        <v>35799246.859999999</v>
      </c>
      <c r="I26" s="45">
        <v>480</v>
      </c>
      <c r="J26" s="45" t="s">
        <v>586</v>
      </c>
      <c r="K26" s="45"/>
      <c r="L26" s="45">
        <f t="shared" si="0"/>
        <v>-30000</v>
      </c>
      <c r="M26" s="24" t="str">
        <f>IF(COUNTIF(Outflows!$E$7:$E$1000,J26)+COUNTIF(Inflows!$E$7:$E$1000,J26)&gt;0,"Matched","Unmatched")</f>
        <v>Matched</v>
      </c>
    </row>
    <row r="27" spans="1:13">
      <c r="A27" s="6" t="s">
        <v>560</v>
      </c>
      <c r="B27" s="42">
        <v>45029.540277777778</v>
      </c>
      <c r="C27" s="42">
        <v>45029.540277777778</v>
      </c>
      <c r="D27" s="6"/>
      <c r="E27" s="50" t="s">
        <v>587</v>
      </c>
      <c r="F27" s="45">
        <v>0</v>
      </c>
      <c r="G27" s="45">
        <v>44325000</v>
      </c>
      <c r="H27" s="45">
        <v>80124246.859999999</v>
      </c>
      <c r="I27" s="45">
        <v>514</v>
      </c>
      <c r="J27" s="45" t="s">
        <v>588</v>
      </c>
      <c r="K27" s="45" t="s">
        <v>209</v>
      </c>
      <c r="L27" s="45">
        <f t="shared" si="0"/>
        <v>44325000</v>
      </c>
      <c r="M27" s="24" t="str">
        <f>IF(COUNTIF(Outflows!$E$7:$E$1000,J27)+COUNTIF(Inflows!$E$7:$E$1000,J27)&gt;0,"Matched","Unmatched")</f>
        <v>Unmatched</v>
      </c>
    </row>
    <row r="28" spans="1:13" ht="24">
      <c r="A28" s="6" t="s">
        <v>560</v>
      </c>
      <c r="B28" s="42">
        <v>45030.352083333331</v>
      </c>
      <c r="C28" s="42">
        <v>45030.352083333331</v>
      </c>
      <c r="D28" s="6"/>
      <c r="E28" s="50" t="s">
        <v>589</v>
      </c>
      <c r="F28" s="45">
        <v>41656250</v>
      </c>
      <c r="G28" s="45">
        <v>0</v>
      </c>
      <c r="H28" s="45">
        <v>38467996.859999999</v>
      </c>
      <c r="I28" s="45">
        <v>63</v>
      </c>
      <c r="J28" s="45" t="s">
        <v>590</v>
      </c>
      <c r="K28" s="45"/>
      <c r="L28" s="45">
        <f t="shared" si="0"/>
        <v>-41656250</v>
      </c>
      <c r="M28" s="24" t="str">
        <f>IF(COUNTIF(Outflows!$E$7:$E$1000,J28)+COUNTIF(Inflows!$E$7:$E$1000,J28)&gt;0,"Matched","Unmatched")</f>
        <v>Matched</v>
      </c>
    </row>
    <row r="29" spans="1:13" ht="24">
      <c r="A29" s="6" t="s">
        <v>560</v>
      </c>
      <c r="B29" s="42">
        <v>45030.352083333331</v>
      </c>
      <c r="C29" s="42">
        <v>45030.352083333331</v>
      </c>
      <c r="D29" s="6"/>
      <c r="E29" s="50" t="s">
        <v>589</v>
      </c>
      <c r="F29" s="45">
        <v>2900</v>
      </c>
      <c r="G29" s="45">
        <v>0</v>
      </c>
      <c r="H29" s="45">
        <v>38465096.859999999</v>
      </c>
      <c r="I29" s="45">
        <v>803</v>
      </c>
      <c r="J29" s="45" t="s">
        <v>590</v>
      </c>
      <c r="K29" s="45"/>
      <c r="L29" s="45">
        <f t="shared" si="0"/>
        <v>-2900</v>
      </c>
      <c r="M29" s="24" t="str">
        <f>IF(COUNTIF(Outflows!$E$7:$E$1000,J29)+COUNTIF(Inflows!$E$7:$E$1000,J29)&gt;0,"Matched","Unmatched")</f>
        <v>Matched</v>
      </c>
    </row>
    <row r="30" spans="1:13">
      <c r="A30" s="6" t="s">
        <v>560</v>
      </c>
      <c r="B30" s="42">
        <v>45036.999305555553</v>
      </c>
      <c r="C30" s="42">
        <v>45036.999305555553</v>
      </c>
      <c r="D30" s="6"/>
      <c r="E30" s="50" t="s">
        <v>576</v>
      </c>
      <c r="F30" s="45">
        <v>30000</v>
      </c>
      <c r="G30" s="45">
        <v>0</v>
      </c>
      <c r="H30" s="45">
        <v>38435096.859999999</v>
      </c>
      <c r="I30" s="45">
        <v>480</v>
      </c>
      <c r="J30" s="45" t="s">
        <v>591</v>
      </c>
      <c r="K30" s="45"/>
      <c r="L30" s="45">
        <f t="shared" si="0"/>
        <v>-30000</v>
      </c>
      <c r="M30" s="24" t="str">
        <f>IF(COUNTIF(Outflows!$E$7:$E$1000,J30)+COUNTIF(Inflows!$E$7:$E$1000,J30)&gt;0,"Matched","Unmatched")</f>
        <v>Matched</v>
      </c>
    </row>
    <row r="31" spans="1:13">
      <c r="A31" s="6" t="s">
        <v>560</v>
      </c>
      <c r="B31" s="42">
        <v>45066.999305555553</v>
      </c>
      <c r="C31" s="42">
        <v>45066.999305555553</v>
      </c>
      <c r="D31" s="6"/>
      <c r="E31" s="50" t="s">
        <v>576</v>
      </c>
      <c r="F31" s="45">
        <v>30000</v>
      </c>
      <c r="G31" s="45">
        <v>0</v>
      </c>
      <c r="H31" s="45">
        <v>38405096.859999999</v>
      </c>
      <c r="I31" s="45">
        <v>480</v>
      </c>
      <c r="J31" s="45" t="s">
        <v>592</v>
      </c>
      <c r="K31" s="45"/>
      <c r="L31" s="45">
        <f t="shared" si="0"/>
        <v>-30000</v>
      </c>
      <c r="M31" s="24" t="str">
        <f>IF(COUNTIF(Outflows!$E$7:$E$1000,J31)+COUNTIF(Inflows!$E$7:$E$1000,J31)&gt;0,"Matched","Unmatched")</f>
        <v>Matched</v>
      </c>
    </row>
    <row r="32" spans="1:13">
      <c r="A32" s="6" t="s">
        <v>560</v>
      </c>
      <c r="B32" s="42">
        <v>45097.999305555553</v>
      </c>
      <c r="C32" s="42">
        <v>45097.999305555553</v>
      </c>
      <c r="D32" s="6"/>
      <c r="E32" s="50" t="s">
        <v>576</v>
      </c>
      <c r="F32" s="45">
        <v>30000</v>
      </c>
      <c r="G32" s="45">
        <v>0</v>
      </c>
      <c r="H32" s="45">
        <v>38375096.859999999</v>
      </c>
      <c r="I32" s="45">
        <v>480</v>
      </c>
      <c r="J32" s="45" t="s">
        <v>593</v>
      </c>
      <c r="K32" s="45"/>
      <c r="L32" s="45">
        <f t="shared" si="0"/>
        <v>-30000</v>
      </c>
      <c r="M32" s="24" t="str">
        <f>IF(COUNTIF(Outflows!$E$7:$E$1000,J32)+COUNTIF(Inflows!$E$7:$E$1000,J32)&gt;0,"Matched","Unmatched")</f>
        <v>Matched</v>
      </c>
    </row>
    <row r="33" spans="1:13">
      <c r="A33" s="6" t="s">
        <v>560</v>
      </c>
      <c r="B33" s="42">
        <v>45099.587500000001</v>
      </c>
      <c r="C33" s="42">
        <v>45099.587500000001</v>
      </c>
      <c r="D33" s="6"/>
      <c r="E33" s="50" t="s">
        <v>594</v>
      </c>
      <c r="F33" s="45">
        <v>0</v>
      </c>
      <c r="G33" s="45">
        <v>1193600000</v>
      </c>
      <c r="H33" s="45">
        <v>1231975096.8599999</v>
      </c>
      <c r="I33" s="45">
        <v>514</v>
      </c>
      <c r="J33" s="45" t="s">
        <v>595</v>
      </c>
      <c r="K33" s="45" t="s">
        <v>209</v>
      </c>
      <c r="L33" s="45">
        <f t="shared" si="0"/>
        <v>1193600000</v>
      </c>
      <c r="M33" s="24" t="str">
        <f>IF(COUNTIF(Outflows!$E$7:$E$1000,J33)+COUNTIF(Inflows!$E$7:$E$1000,J33)&gt;0,"Matched","Unmatched")</f>
        <v>Unmatched</v>
      </c>
    </row>
    <row r="34" spans="1:13" ht="24">
      <c r="A34" s="6" t="s">
        <v>560</v>
      </c>
      <c r="B34" s="42">
        <v>45100.354166655095</v>
      </c>
      <c r="C34" s="42">
        <v>45100.354166655095</v>
      </c>
      <c r="D34" s="6"/>
      <c r="E34" s="50" t="s">
        <v>596</v>
      </c>
      <c r="F34" s="45">
        <v>2900</v>
      </c>
      <c r="G34" s="45">
        <v>0</v>
      </c>
      <c r="H34" s="45">
        <v>292871067.86000001</v>
      </c>
      <c r="I34" s="45">
        <v>803</v>
      </c>
      <c r="J34" s="45" t="s">
        <v>597</v>
      </c>
      <c r="K34" s="45"/>
      <c r="L34" s="45">
        <f t="shared" si="0"/>
        <v>-2900</v>
      </c>
      <c r="M34" s="24" t="str">
        <f>IF(COUNTIF(Outflows!$E$7:$E$1000,J34)+COUNTIF(Inflows!$E$7:$E$1000,J34)&gt;0,"Matched","Unmatched")</f>
        <v>Matched</v>
      </c>
    </row>
    <row r="35" spans="1:13" ht="24">
      <c r="A35" s="6" t="s">
        <v>560</v>
      </c>
      <c r="B35" s="42">
        <v>45100.354166655095</v>
      </c>
      <c r="C35" s="42">
        <v>45100.354166655095</v>
      </c>
      <c r="D35" s="6"/>
      <c r="E35" s="50" t="s">
        <v>596</v>
      </c>
      <c r="F35" s="45">
        <v>939101129</v>
      </c>
      <c r="G35" s="45">
        <v>0</v>
      </c>
      <c r="H35" s="45">
        <v>292873967.86000001</v>
      </c>
      <c r="I35" s="45">
        <v>63</v>
      </c>
      <c r="J35" s="45" t="s">
        <v>597</v>
      </c>
      <c r="K35" s="45"/>
      <c r="L35" s="45">
        <f t="shared" si="0"/>
        <v>-939101129</v>
      </c>
      <c r="M35" s="24" t="str">
        <f>IF(COUNTIF(Outflows!$E$7:$E$1000,J35)+COUNTIF(Inflows!$E$7:$E$1000,J35)&gt;0,"Matched","Unmatched")</f>
        <v>Matched</v>
      </c>
    </row>
    <row r="36" spans="1:13">
      <c r="A36" s="6" t="s">
        <v>560</v>
      </c>
      <c r="B36" s="42">
        <v>45107.999305555553</v>
      </c>
      <c r="C36" s="42">
        <v>45107.999305555553</v>
      </c>
      <c r="D36" s="6"/>
      <c r="E36" s="50" t="s">
        <v>565</v>
      </c>
      <c r="F36" s="45">
        <v>3947.15</v>
      </c>
      <c r="G36" s="45">
        <v>0</v>
      </c>
      <c r="H36" s="45">
        <v>292886856.47000003</v>
      </c>
      <c r="I36" s="45">
        <v>198</v>
      </c>
      <c r="J36" s="45" t="s">
        <v>598</v>
      </c>
      <c r="K36" s="45"/>
      <c r="L36" s="45">
        <f t="shared" si="0"/>
        <v>-3947.15</v>
      </c>
      <c r="M36" s="24" t="str">
        <f>IF(COUNTIF(Outflows!$E$7:$E$1000,J36)+COUNTIF(Inflows!$E$7:$E$1000,J36)&gt;0,"Matched","Unmatched")</f>
        <v>Matched</v>
      </c>
    </row>
    <row r="37" spans="1:13">
      <c r="A37" s="6" t="s">
        <v>560</v>
      </c>
      <c r="B37" s="42">
        <v>45107.999305555553</v>
      </c>
      <c r="C37" s="42">
        <v>45107.999305555553</v>
      </c>
      <c r="D37" s="6"/>
      <c r="E37" s="50" t="s">
        <v>563</v>
      </c>
      <c r="F37" s="45">
        <v>0</v>
      </c>
      <c r="G37" s="45">
        <v>19735.759999999998</v>
      </c>
      <c r="H37" s="45">
        <v>292890803.62</v>
      </c>
      <c r="I37" s="45">
        <v>160</v>
      </c>
      <c r="J37" s="45" t="s">
        <v>599</v>
      </c>
      <c r="K37" s="45" t="s">
        <v>218</v>
      </c>
      <c r="L37" s="45">
        <f t="shared" si="0"/>
        <v>19735.759999999998</v>
      </c>
      <c r="M37" s="24" t="str">
        <f>IF(COUNTIF(Outflows!$E$7:$E$1000,J37)+COUNTIF(Inflows!$E$7:$E$1000,J37)&gt;0,"Matched","Unmatched")</f>
        <v>Unmatched</v>
      </c>
    </row>
    <row r="38" spans="1:13" ht="24">
      <c r="A38" s="6" t="s">
        <v>560</v>
      </c>
      <c r="B38" s="42">
        <v>45121.345833333333</v>
      </c>
      <c r="C38" s="42">
        <v>45121.345833333333</v>
      </c>
      <c r="D38" s="6"/>
      <c r="E38" s="50" t="s">
        <v>600</v>
      </c>
      <c r="F38" s="45">
        <v>2900</v>
      </c>
      <c r="G38" s="45">
        <v>0</v>
      </c>
      <c r="H38" s="45">
        <v>102367191.47</v>
      </c>
      <c r="I38" s="45">
        <v>803</v>
      </c>
      <c r="J38" s="45" t="s">
        <v>601</v>
      </c>
      <c r="K38" s="45"/>
      <c r="L38" s="45">
        <f t="shared" si="0"/>
        <v>-2900</v>
      </c>
      <c r="M38" s="24" t="str">
        <f>IF(COUNTIF(Outflows!$E$7:$E$1000,J38)+COUNTIF(Inflows!$E$7:$E$1000,J38)&gt;0,"Matched","Unmatched")</f>
        <v>Matched</v>
      </c>
    </row>
    <row r="39" spans="1:13" ht="24">
      <c r="A39" s="6" t="s">
        <v>560</v>
      </c>
      <c r="B39" s="42">
        <v>45121.345833333333</v>
      </c>
      <c r="C39" s="42">
        <v>45121.345833333333</v>
      </c>
      <c r="D39" s="6"/>
      <c r="E39" s="50" t="s">
        <v>600</v>
      </c>
      <c r="F39" s="45">
        <v>142138865</v>
      </c>
      <c r="G39" s="45">
        <v>0</v>
      </c>
      <c r="H39" s="45">
        <v>102370091.47</v>
      </c>
      <c r="I39" s="45">
        <v>63</v>
      </c>
      <c r="J39" s="45" t="s">
        <v>601</v>
      </c>
      <c r="K39" s="45"/>
      <c r="L39" s="45">
        <f t="shared" si="0"/>
        <v>-142138865</v>
      </c>
      <c r="M39" s="24" t="str">
        <f>IF(COUNTIF(Outflows!$E$7:$E$1000,J39)+COUNTIF(Inflows!$E$7:$E$1000,J39)&gt;0,"Matched","Unmatched")</f>
        <v>Matched</v>
      </c>
    </row>
    <row r="40" spans="1:13" ht="24">
      <c r="A40" s="6" t="s">
        <v>560</v>
      </c>
      <c r="B40" s="42">
        <v>45121.345833333333</v>
      </c>
      <c r="C40" s="42">
        <v>45121.345833333333</v>
      </c>
      <c r="D40" s="6"/>
      <c r="E40" s="50" t="s">
        <v>602</v>
      </c>
      <c r="F40" s="45">
        <v>2900</v>
      </c>
      <c r="G40" s="45">
        <v>0</v>
      </c>
      <c r="H40" s="45">
        <v>244508956.47</v>
      </c>
      <c r="I40" s="45">
        <v>803</v>
      </c>
      <c r="J40" s="45" t="s">
        <v>603</v>
      </c>
      <c r="K40" s="45"/>
      <c r="L40" s="45">
        <f t="shared" ref="L40:L71" si="1">G40-F40</f>
        <v>-2900</v>
      </c>
      <c r="M40" s="24" t="str">
        <f>IF(COUNTIF(Outflows!$E$7:$E$1000,J40)+COUNTIF(Inflows!$E$7:$E$1000,J40)&gt;0,"Matched","Unmatched")</f>
        <v>Matched</v>
      </c>
    </row>
    <row r="41" spans="1:13" ht="24">
      <c r="A41" s="6" t="s">
        <v>560</v>
      </c>
      <c r="B41" s="42">
        <v>45121.345833333333</v>
      </c>
      <c r="C41" s="42">
        <v>45121.345833333333</v>
      </c>
      <c r="D41" s="6"/>
      <c r="E41" s="50" t="s">
        <v>602</v>
      </c>
      <c r="F41" s="45">
        <v>48375000</v>
      </c>
      <c r="G41" s="45">
        <v>0</v>
      </c>
      <c r="H41" s="45">
        <v>244511856.47</v>
      </c>
      <c r="I41" s="45">
        <v>63</v>
      </c>
      <c r="J41" s="45" t="s">
        <v>603</v>
      </c>
      <c r="K41" s="45"/>
      <c r="L41" s="45">
        <f t="shared" si="1"/>
        <v>-48375000</v>
      </c>
      <c r="M41" s="24" t="str">
        <f>IF(COUNTIF(Outflows!$E$7:$E$1000,J41)+COUNTIF(Inflows!$E$7:$E$1000,J41)&gt;0,"Matched","Unmatched")</f>
        <v>Matched</v>
      </c>
    </row>
    <row r="42" spans="1:13">
      <c r="A42" s="6" t="s">
        <v>560</v>
      </c>
      <c r="B42" s="42">
        <v>45127.999305555553</v>
      </c>
      <c r="C42" s="42">
        <v>45127.999305555553</v>
      </c>
      <c r="D42" s="6"/>
      <c r="E42" s="50" t="s">
        <v>576</v>
      </c>
      <c r="F42" s="45">
        <v>30000</v>
      </c>
      <c r="G42" s="45">
        <v>0</v>
      </c>
      <c r="H42" s="45">
        <v>102337191.47</v>
      </c>
      <c r="I42" s="45">
        <v>480</v>
      </c>
      <c r="J42" s="45" t="s">
        <v>604</v>
      </c>
      <c r="K42" s="45"/>
      <c r="L42" s="45">
        <f t="shared" si="1"/>
        <v>-30000</v>
      </c>
      <c r="M42" s="24" t="str">
        <f>IF(COUNTIF(Outflows!$E$7:$E$1000,J42)+COUNTIF(Inflows!$E$7:$E$1000,J42)&gt;0,"Matched","Unmatched")</f>
        <v>Matched</v>
      </c>
    </row>
    <row r="43" spans="1:13">
      <c r="A43" s="6" t="s">
        <v>560</v>
      </c>
      <c r="B43" s="42">
        <v>45138.467361099538</v>
      </c>
      <c r="C43" s="42">
        <v>45138.467361099538</v>
      </c>
      <c r="D43" s="6"/>
      <c r="E43" s="50" t="s">
        <v>605</v>
      </c>
      <c r="F43" s="45">
        <v>0</v>
      </c>
      <c r="G43" s="45">
        <v>150700000</v>
      </c>
      <c r="H43" s="45">
        <v>253037191.47</v>
      </c>
      <c r="I43" s="45">
        <v>514</v>
      </c>
      <c r="J43" s="45" t="s">
        <v>606</v>
      </c>
      <c r="K43" s="45" t="s">
        <v>209</v>
      </c>
      <c r="L43" s="45">
        <f t="shared" si="1"/>
        <v>150700000</v>
      </c>
      <c r="M43" s="24" t="str">
        <f>IF(COUNTIF(Outflows!$E$7:$E$1000,J43)+COUNTIF(Inflows!$E$7:$E$1000,J43)&gt;0,"Matched","Unmatched")</f>
        <v>Unmatched</v>
      </c>
    </row>
    <row r="44" spans="1:13" ht="24">
      <c r="A44" s="6" t="s">
        <v>560</v>
      </c>
      <c r="B44" s="42">
        <v>45138.468055555553</v>
      </c>
      <c r="C44" s="42">
        <v>45138.468055555553</v>
      </c>
      <c r="D44" s="6"/>
      <c r="E44" s="50" t="s">
        <v>607</v>
      </c>
      <c r="F44" s="45">
        <v>2900</v>
      </c>
      <c r="G44" s="45">
        <v>0</v>
      </c>
      <c r="H44" s="45">
        <v>93287896.469999999</v>
      </c>
      <c r="I44" s="45">
        <v>803</v>
      </c>
      <c r="J44" s="45" t="s">
        <v>608</v>
      </c>
      <c r="K44" s="45"/>
      <c r="L44" s="45">
        <f t="shared" si="1"/>
        <v>-2900</v>
      </c>
      <c r="M44" s="24" t="str">
        <f>IF(COUNTIF(Outflows!$E$7:$E$1000,J44)+COUNTIF(Inflows!$E$7:$E$1000,J44)&gt;0,"Matched","Unmatched")</f>
        <v>Matched</v>
      </c>
    </row>
    <row r="45" spans="1:13" ht="24">
      <c r="A45" s="6" t="s">
        <v>560</v>
      </c>
      <c r="B45" s="42">
        <v>45138.468055555553</v>
      </c>
      <c r="C45" s="42">
        <v>45138.468055555553</v>
      </c>
      <c r="D45" s="6"/>
      <c r="E45" s="50" t="s">
        <v>607</v>
      </c>
      <c r="F45" s="45">
        <v>159746395</v>
      </c>
      <c r="G45" s="45">
        <v>0</v>
      </c>
      <c r="H45" s="45">
        <v>93290796.469999999</v>
      </c>
      <c r="I45" s="45">
        <v>63</v>
      </c>
      <c r="J45" s="45" t="s">
        <v>608</v>
      </c>
      <c r="K45" s="45"/>
      <c r="L45" s="45">
        <f t="shared" si="1"/>
        <v>-159746395</v>
      </c>
      <c r="M45" s="24" t="str">
        <f>IF(COUNTIF(Outflows!$E$7:$E$1000,J45)+COUNTIF(Inflows!$E$7:$E$1000,J45)&gt;0,"Matched","Unmatched")</f>
        <v>Matched</v>
      </c>
    </row>
    <row r="46" spans="1:13">
      <c r="A46" s="6" t="s">
        <v>560</v>
      </c>
      <c r="B46" s="42">
        <v>45138.999305555553</v>
      </c>
      <c r="C46" s="42">
        <v>45138.999305555553</v>
      </c>
      <c r="D46" s="6"/>
      <c r="E46" s="50" t="s">
        <v>565</v>
      </c>
      <c r="F46" s="45">
        <v>5603.78</v>
      </c>
      <c r="G46" s="45">
        <v>0</v>
      </c>
      <c r="H46" s="45">
        <v>93310311.590000004</v>
      </c>
      <c r="I46" s="45">
        <v>198</v>
      </c>
      <c r="J46" s="45" t="s">
        <v>609</v>
      </c>
      <c r="K46" s="45"/>
      <c r="L46" s="45">
        <f t="shared" si="1"/>
        <v>-5603.78</v>
      </c>
      <c r="M46" s="24" t="str">
        <f>IF(COUNTIF(Outflows!$E$7:$E$1000,J46)+COUNTIF(Inflows!$E$7:$E$1000,J46)&gt;0,"Matched","Unmatched")</f>
        <v>Matched</v>
      </c>
    </row>
    <row r="47" spans="1:13">
      <c r="A47" s="6" t="s">
        <v>560</v>
      </c>
      <c r="B47" s="42">
        <v>45138.999305555553</v>
      </c>
      <c r="C47" s="42">
        <v>45138.999305555553</v>
      </c>
      <c r="D47" s="6"/>
      <c r="E47" s="50" t="s">
        <v>563</v>
      </c>
      <c r="F47" s="45">
        <v>0</v>
      </c>
      <c r="G47" s="45">
        <v>28018.9</v>
      </c>
      <c r="H47" s="45">
        <v>93315915.370000005</v>
      </c>
      <c r="I47" s="45">
        <v>160</v>
      </c>
      <c r="J47" s="45" t="s">
        <v>610</v>
      </c>
      <c r="K47" s="45" t="s">
        <v>218</v>
      </c>
      <c r="L47" s="45">
        <f t="shared" si="1"/>
        <v>28018.9</v>
      </c>
      <c r="M47" s="24" t="str">
        <f>IF(COUNTIF(Outflows!$E$7:$E$1000,J47)+COUNTIF(Inflows!$E$7:$E$1000,J47)&gt;0,"Matched","Unmatched")</f>
        <v>Unmatched</v>
      </c>
    </row>
    <row r="48" spans="1:13" ht="24">
      <c r="A48" s="6" t="s">
        <v>560</v>
      </c>
      <c r="B48" s="42">
        <v>45149.34375</v>
      </c>
      <c r="C48" s="42">
        <v>45149.34375</v>
      </c>
      <c r="D48" s="6"/>
      <c r="E48" s="50" t="s">
        <v>611</v>
      </c>
      <c r="F48" s="45">
        <v>2900</v>
      </c>
      <c r="G48" s="45">
        <v>0</v>
      </c>
      <c r="H48" s="45">
        <v>90407411.590000004</v>
      </c>
      <c r="I48" s="45">
        <v>803</v>
      </c>
      <c r="J48" s="45" t="s">
        <v>612</v>
      </c>
      <c r="K48" s="45"/>
      <c r="L48" s="45">
        <f t="shared" si="1"/>
        <v>-2900</v>
      </c>
      <c r="M48" s="24" t="str">
        <f>IF(COUNTIF(Outflows!$E$7:$E$1000,J48)+COUNTIF(Inflows!$E$7:$E$1000,J48)&gt;0,"Matched","Unmatched")</f>
        <v>Matched</v>
      </c>
    </row>
    <row r="49" spans="1:13" ht="24">
      <c r="A49" s="6" t="s">
        <v>560</v>
      </c>
      <c r="B49" s="42">
        <v>45149.34375</v>
      </c>
      <c r="C49" s="42">
        <v>45149.34375</v>
      </c>
      <c r="D49" s="6"/>
      <c r="E49" s="50" t="s">
        <v>611</v>
      </c>
      <c r="F49" s="45">
        <v>2900000</v>
      </c>
      <c r="G49" s="45">
        <v>0</v>
      </c>
      <c r="H49" s="45">
        <v>90410311.590000004</v>
      </c>
      <c r="I49" s="45">
        <v>63</v>
      </c>
      <c r="J49" s="45" t="s">
        <v>612</v>
      </c>
      <c r="K49" s="45"/>
      <c r="L49" s="45">
        <f t="shared" si="1"/>
        <v>-2900000</v>
      </c>
      <c r="M49" s="24" t="str">
        <f>IF(COUNTIF(Outflows!$E$7:$E$1000,J49)+COUNTIF(Inflows!$E$7:$E$1000,J49)&gt;0,"Matched","Unmatched")</f>
        <v>Matched</v>
      </c>
    </row>
    <row r="50" spans="1:13">
      <c r="A50" s="6" t="s">
        <v>560</v>
      </c>
      <c r="B50" s="42">
        <v>45156.6</v>
      </c>
      <c r="C50" s="42">
        <v>45156.6</v>
      </c>
      <c r="D50" s="6"/>
      <c r="E50" s="50" t="s">
        <v>613</v>
      </c>
      <c r="F50" s="45">
        <v>0</v>
      </c>
      <c r="G50" s="45">
        <v>305700000</v>
      </c>
      <c r="H50" s="45">
        <v>396107411.58999997</v>
      </c>
      <c r="I50" s="45">
        <v>514</v>
      </c>
      <c r="J50" s="45" t="s">
        <v>614</v>
      </c>
      <c r="K50" s="45" t="s">
        <v>209</v>
      </c>
      <c r="L50" s="45">
        <f t="shared" si="1"/>
        <v>305700000</v>
      </c>
      <c r="M50" s="24" t="str">
        <f>IF(COUNTIF(Outflows!$E$7:$E$1000,J50)+COUNTIF(Inflows!$E$7:$E$1000,J50)&gt;0,"Matched","Unmatched")</f>
        <v>Unmatched</v>
      </c>
    </row>
    <row r="51" spans="1:13" ht="24">
      <c r="A51" s="6" t="s">
        <v>560</v>
      </c>
      <c r="B51" s="42">
        <v>45156.620138888888</v>
      </c>
      <c r="C51" s="42">
        <v>45156.620138888888</v>
      </c>
      <c r="D51" s="6"/>
      <c r="E51" s="50" t="s">
        <v>615</v>
      </c>
      <c r="F51" s="45">
        <v>2900</v>
      </c>
      <c r="G51" s="45">
        <v>0</v>
      </c>
      <c r="H51" s="45">
        <v>61104511.590000004</v>
      </c>
      <c r="I51" s="45">
        <v>803</v>
      </c>
      <c r="J51" s="45" t="s">
        <v>616</v>
      </c>
      <c r="K51" s="45"/>
      <c r="L51" s="45">
        <f t="shared" si="1"/>
        <v>-2900</v>
      </c>
      <c r="M51" s="24" t="str">
        <f>IF(COUNTIF(Outflows!$E$7:$E$1000,J51)+COUNTIF(Inflows!$E$7:$E$1000,J51)&gt;0,"Matched","Unmatched")</f>
        <v>Matched</v>
      </c>
    </row>
    <row r="52" spans="1:13" ht="24">
      <c r="A52" s="6" t="s">
        <v>560</v>
      </c>
      <c r="B52" s="42">
        <v>45156.620138888888</v>
      </c>
      <c r="C52" s="42">
        <v>45156.620138888888</v>
      </c>
      <c r="D52" s="6"/>
      <c r="E52" s="50" t="s">
        <v>615</v>
      </c>
      <c r="F52" s="45">
        <v>335000000</v>
      </c>
      <c r="G52" s="45">
        <v>0</v>
      </c>
      <c r="H52" s="45">
        <v>61107411.590000004</v>
      </c>
      <c r="I52" s="45">
        <v>63</v>
      </c>
      <c r="J52" s="45" t="s">
        <v>616</v>
      </c>
      <c r="K52" s="45"/>
      <c r="L52" s="45">
        <f t="shared" si="1"/>
        <v>-335000000</v>
      </c>
      <c r="M52" s="24" t="str">
        <f>IF(COUNTIF(Outflows!$E$7:$E$1000,J52)+COUNTIF(Inflows!$E$7:$E$1000,J52)&gt;0,"Matched","Unmatched")</f>
        <v>Matched</v>
      </c>
    </row>
    <row r="53" spans="1:13">
      <c r="A53" s="6" t="s">
        <v>560</v>
      </c>
      <c r="B53" s="42">
        <v>45158.999305555553</v>
      </c>
      <c r="C53" s="42">
        <v>45158.999305555553</v>
      </c>
      <c r="D53" s="6"/>
      <c r="E53" s="50" t="s">
        <v>576</v>
      </c>
      <c r="F53" s="45">
        <v>30000</v>
      </c>
      <c r="G53" s="45">
        <v>0</v>
      </c>
      <c r="H53" s="45">
        <v>61074511.590000004</v>
      </c>
      <c r="I53" s="45">
        <v>480</v>
      </c>
      <c r="J53" s="45" t="s">
        <v>617</v>
      </c>
      <c r="K53" s="45"/>
      <c r="L53" s="45">
        <f t="shared" si="1"/>
        <v>-30000</v>
      </c>
      <c r="M53" s="24" t="str">
        <f>IF(COUNTIF(Outflows!$E$7:$E$1000,J53)+COUNTIF(Inflows!$E$7:$E$1000,J53)&gt;0,"Matched","Unmatched")</f>
        <v>Matched</v>
      </c>
    </row>
    <row r="54" spans="1:13">
      <c r="A54" s="6" t="s">
        <v>560</v>
      </c>
      <c r="B54" s="42">
        <v>45169.999305555553</v>
      </c>
      <c r="C54" s="42">
        <v>45169.999305555553</v>
      </c>
      <c r="D54" s="6"/>
      <c r="E54" s="50" t="s">
        <v>565</v>
      </c>
      <c r="F54" s="45">
        <v>1193.27</v>
      </c>
      <c r="G54" s="45">
        <v>0</v>
      </c>
      <c r="H54" s="45">
        <v>61079284.68</v>
      </c>
      <c r="I54" s="45">
        <v>198</v>
      </c>
      <c r="J54" s="45" t="s">
        <v>618</v>
      </c>
      <c r="K54" s="45"/>
      <c r="L54" s="45">
        <f t="shared" si="1"/>
        <v>-1193.27</v>
      </c>
      <c r="M54" s="24" t="str">
        <f>IF(COUNTIF(Outflows!$E$7:$E$1000,J54)+COUNTIF(Inflows!$E$7:$E$1000,J54)&gt;0,"Matched","Unmatched")</f>
        <v>Matched</v>
      </c>
    </row>
    <row r="55" spans="1:13">
      <c r="A55" s="6" t="s">
        <v>560</v>
      </c>
      <c r="B55" s="42">
        <v>45169.999305555553</v>
      </c>
      <c r="C55" s="42">
        <v>45169.999305555553</v>
      </c>
      <c r="D55" s="6"/>
      <c r="E55" s="50" t="s">
        <v>563</v>
      </c>
      <c r="F55" s="45">
        <v>0</v>
      </c>
      <c r="G55" s="45">
        <v>5966.36</v>
      </c>
      <c r="H55" s="45">
        <v>61080477.950000003</v>
      </c>
      <c r="I55" s="45">
        <v>160</v>
      </c>
      <c r="J55" s="45" t="s">
        <v>619</v>
      </c>
      <c r="K55" s="45" t="s">
        <v>218</v>
      </c>
      <c r="L55" s="45">
        <f t="shared" si="1"/>
        <v>5966.36</v>
      </c>
      <c r="M55" s="24" t="str">
        <f>IF(COUNTIF(Outflows!$E$7:$E$1000,J55)+COUNTIF(Inflows!$E$7:$E$1000,J55)&gt;0,"Matched","Unmatched")</f>
        <v>Unmatched</v>
      </c>
    </row>
    <row r="56" spans="1:13">
      <c r="A56" s="6" t="s">
        <v>560</v>
      </c>
      <c r="B56" s="42">
        <v>45189.999305555553</v>
      </c>
      <c r="C56" s="42">
        <v>45189.999305555553</v>
      </c>
      <c r="D56" s="6"/>
      <c r="E56" s="50" t="s">
        <v>576</v>
      </c>
      <c r="F56" s="45">
        <v>30000</v>
      </c>
      <c r="G56" s="45">
        <v>0</v>
      </c>
      <c r="H56" s="45">
        <v>61049284.68</v>
      </c>
      <c r="I56" s="45">
        <v>480</v>
      </c>
      <c r="J56" s="45" t="s">
        <v>620</v>
      </c>
      <c r="K56" s="45"/>
      <c r="L56" s="45">
        <f t="shared" si="1"/>
        <v>-30000</v>
      </c>
      <c r="M56" s="24" t="str">
        <f>IF(COUNTIF(Outflows!$E$7:$E$1000,J56)+COUNTIF(Inflows!$E$7:$E$1000,J56)&gt;0,"Matched","Unmatched")</f>
        <v>Matched</v>
      </c>
    </row>
    <row r="57" spans="1:13" ht="24">
      <c r="A57" s="6" t="s">
        <v>560</v>
      </c>
      <c r="B57" s="42">
        <v>45190.343055555553</v>
      </c>
      <c r="C57" s="42">
        <v>45190.343055555553</v>
      </c>
      <c r="D57" s="6"/>
      <c r="E57" s="50" t="s">
        <v>621</v>
      </c>
      <c r="F57" s="45">
        <v>2900</v>
      </c>
      <c r="G57" s="45">
        <v>0</v>
      </c>
      <c r="H57" s="45">
        <v>7862831.6799999997</v>
      </c>
      <c r="I57" s="45">
        <v>803</v>
      </c>
      <c r="J57" s="45" t="s">
        <v>622</v>
      </c>
      <c r="K57" s="45"/>
      <c r="L57" s="45">
        <f t="shared" si="1"/>
        <v>-2900</v>
      </c>
      <c r="M57" s="24" t="str">
        <f>IF(COUNTIF(Outflows!$E$7:$E$1000,J57)+COUNTIF(Inflows!$E$7:$E$1000,J57)&gt;0,"Matched","Unmatched")</f>
        <v>Matched</v>
      </c>
    </row>
    <row r="58" spans="1:13" ht="24">
      <c r="A58" s="6" t="s">
        <v>560</v>
      </c>
      <c r="B58" s="42">
        <v>45190.343055555553</v>
      </c>
      <c r="C58" s="42">
        <v>45190.343055555553</v>
      </c>
      <c r="D58" s="6"/>
      <c r="E58" s="50" t="s">
        <v>621</v>
      </c>
      <c r="F58" s="45">
        <v>53183553</v>
      </c>
      <c r="G58" s="45">
        <v>0</v>
      </c>
      <c r="H58" s="45">
        <v>7865731.6799999997</v>
      </c>
      <c r="I58" s="45">
        <v>63</v>
      </c>
      <c r="J58" s="45" t="s">
        <v>622</v>
      </c>
      <c r="K58" s="45"/>
      <c r="L58" s="45">
        <f t="shared" si="1"/>
        <v>-53183553</v>
      </c>
      <c r="M58" s="24" t="str">
        <f>IF(COUNTIF(Outflows!$E$7:$E$1000,J58)+COUNTIF(Inflows!$E$7:$E$1000,J58)&gt;0,"Matched","Unmatched")</f>
        <v>Matched</v>
      </c>
    </row>
    <row r="59" spans="1:13" ht="24">
      <c r="A59" s="6" t="s">
        <v>560</v>
      </c>
      <c r="B59" s="42">
        <v>45202.340277777781</v>
      </c>
      <c r="C59" s="42">
        <v>45202.340277777781</v>
      </c>
      <c r="D59" s="6"/>
      <c r="E59" s="50" t="s">
        <v>623</v>
      </c>
      <c r="F59" s="45">
        <v>2900</v>
      </c>
      <c r="G59" s="45">
        <v>0</v>
      </c>
      <c r="H59" s="45">
        <v>4634931.68</v>
      </c>
      <c r="I59" s="45">
        <v>803</v>
      </c>
      <c r="J59" s="45" t="s">
        <v>624</v>
      </c>
      <c r="K59" s="45"/>
      <c r="L59" s="45">
        <f t="shared" si="1"/>
        <v>-2900</v>
      </c>
      <c r="M59" s="24" t="str">
        <f>IF(COUNTIF(Outflows!$E$7:$E$1000,J59)+COUNTIF(Inflows!$E$7:$E$1000,J59)&gt;0,"Matched","Unmatched")</f>
        <v>Matched</v>
      </c>
    </row>
    <row r="60" spans="1:13" ht="24">
      <c r="A60" s="6" t="s">
        <v>560</v>
      </c>
      <c r="B60" s="42">
        <v>45202.340277777781</v>
      </c>
      <c r="C60" s="42">
        <v>45202.340277777781</v>
      </c>
      <c r="D60" s="6"/>
      <c r="E60" s="50" t="s">
        <v>623</v>
      </c>
      <c r="F60" s="45">
        <v>3225000</v>
      </c>
      <c r="G60" s="45">
        <v>0</v>
      </c>
      <c r="H60" s="45">
        <v>4637831.68</v>
      </c>
      <c r="I60" s="45">
        <v>63</v>
      </c>
      <c r="J60" s="45" t="s">
        <v>624</v>
      </c>
      <c r="K60" s="45"/>
      <c r="L60" s="45">
        <f t="shared" si="1"/>
        <v>-3225000</v>
      </c>
      <c r="M60" s="24" t="str">
        <f>IF(COUNTIF(Outflows!$E$7:$E$1000,J60)+COUNTIF(Inflows!$E$7:$E$1000,J60)&gt;0,"Matched","Unmatched")</f>
        <v>Matched</v>
      </c>
    </row>
    <row r="61" spans="1:13">
      <c r="A61" s="6" t="s">
        <v>560</v>
      </c>
      <c r="B61" s="42">
        <v>45212.525000000001</v>
      </c>
      <c r="C61" s="42">
        <v>45212.525000000001</v>
      </c>
      <c r="D61" s="6"/>
      <c r="E61" s="50" t="s">
        <v>625</v>
      </c>
      <c r="F61" s="45">
        <v>0</v>
      </c>
      <c r="G61" s="45">
        <v>157000000</v>
      </c>
      <c r="H61" s="45">
        <v>161634931.68000001</v>
      </c>
      <c r="I61" s="45">
        <v>514</v>
      </c>
      <c r="J61" s="45" t="s">
        <v>626</v>
      </c>
      <c r="K61" s="45" t="s">
        <v>209</v>
      </c>
      <c r="L61" s="45">
        <f t="shared" si="1"/>
        <v>157000000</v>
      </c>
      <c r="M61" s="24" t="str">
        <f>IF(COUNTIF(Outflows!$E$7:$E$1000,J61)+COUNTIF(Inflows!$E$7:$E$1000,J61)&gt;0,"Matched","Unmatched")</f>
        <v>Unmatched</v>
      </c>
    </row>
    <row r="62" spans="1:13" ht="24">
      <c r="A62" s="6" t="s">
        <v>560</v>
      </c>
      <c r="B62" s="42">
        <v>45215.341666666667</v>
      </c>
      <c r="C62" s="42">
        <v>45215.341666666667</v>
      </c>
      <c r="D62" s="6"/>
      <c r="E62" s="50" t="s">
        <v>627</v>
      </c>
      <c r="F62" s="45">
        <v>2900</v>
      </c>
      <c r="G62" s="45">
        <v>0</v>
      </c>
      <c r="H62" s="45">
        <v>89123281.680000007</v>
      </c>
      <c r="I62" s="45">
        <v>803</v>
      </c>
      <c r="J62" s="45" t="s">
        <v>628</v>
      </c>
      <c r="K62" s="45"/>
      <c r="L62" s="45">
        <f t="shared" si="1"/>
        <v>-2900</v>
      </c>
      <c r="M62" s="24" t="str">
        <f>IF(COUNTIF(Outflows!$E$7:$E$1000,J62)+COUNTIF(Inflows!$E$7:$E$1000,J62)&gt;0,"Matched","Unmatched")</f>
        <v>Matched</v>
      </c>
    </row>
    <row r="63" spans="1:13" ht="24">
      <c r="A63" s="6" t="s">
        <v>560</v>
      </c>
      <c r="B63" s="42">
        <v>45215.341666666667</v>
      </c>
      <c r="C63" s="42">
        <v>45215.341666666667</v>
      </c>
      <c r="D63" s="6"/>
      <c r="E63" s="50" t="s">
        <v>627</v>
      </c>
      <c r="F63" s="45">
        <v>72508750</v>
      </c>
      <c r="G63" s="45">
        <v>0</v>
      </c>
      <c r="H63" s="45">
        <v>89126181.680000007</v>
      </c>
      <c r="I63" s="45" t="s">
        <v>629</v>
      </c>
      <c r="J63" s="45" t="s">
        <v>628</v>
      </c>
      <c r="K63" s="45"/>
      <c r="L63" s="45">
        <f t="shared" si="1"/>
        <v>-72508750</v>
      </c>
      <c r="M63" s="24" t="str">
        <f>IF(COUNTIF(Outflows!$E$7:$E$1000,J63)+COUNTIF(Inflows!$E$7:$E$1000,J63)&gt;0,"Matched","Unmatched")</f>
        <v>Matched</v>
      </c>
    </row>
    <row r="64" spans="1:13">
      <c r="A64" s="6" t="s">
        <v>560</v>
      </c>
      <c r="B64" s="42">
        <v>45219.999305555553</v>
      </c>
      <c r="C64" s="42">
        <v>45219.999305555553</v>
      </c>
      <c r="D64" s="6"/>
      <c r="E64" s="50" t="s">
        <v>576</v>
      </c>
      <c r="F64" s="45">
        <v>30000</v>
      </c>
      <c r="G64" s="45">
        <v>0</v>
      </c>
      <c r="H64" s="45">
        <v>89093281.680000007</v>
      </c>
      <c r="I64" s="45">
        <v>480</v>
      </c>
      <c r="J64" s="45" t="s">
        <v>630</v>
      </c>
      <c r="K64" s="45"/>
      <c r="L64" s="45">
        <f t="shared" si="1"/>
        <v>-30000</v>
      </c>
      <c r="M64" s="24" t="str">
        <f>IF(COUNTIF(Outflows!$E$7:$E$1000,J64)+COUNTIF(Inflows!$E$7:$E$1000,J64)&gt;0,"Matched","Unmatched")</f>
        <v>Matched</v>
      </c>
    </row>
    <row r="65" spans="1:13">
      <c r="A65" s="6" t="s">
        <v>560</v>
      </c>
      <c r="B65" s="42">
        <v>45230.999305555553</v>
      </c>
      <c r="C65" s="42">
        <v>45230.999305555553</v>
      </c>
      <c r="D65" s="6"/>
      <c r="E65" s="50" t="s">
        <v>565</v>
      </c>
      <c r="F65" s="45">
        <v>578.92999999999995</v>
      </c>
      <c r="G65" s="45">
        <v>0</v>
      </c>
      <c r="H65" s="45">
        <v>89095597.420000002</v>
      </c>
      <c r="I65" s="45">
        <v>198</v>
      </c>
      <c r="J65" s="45" t="s">
        <v>631</v>
      </c>
      <c r="K65" s="45"/>
      <c r="L65" s="45">
        <f t="shared" si="1"/>
        <v>-578.92999999999995</v>
      </c>
      <c r="M65" s="24" t="str">
        <f>IF(COUNTIF(Outflows!$E$7:$E$1000,J65)+COUNTIF(Inflows!$E$7:$E$1000,J65)&gt;0,"Matched","Unmatched")</f>
        <v>Matched</v>
      </c>
    </row>
    <row r="66" spans="1:13">
      <c r="A66" s="6" t="s">
        <v>560</v>
      </c>
      <c r="B66" s="42">
        <v>45230.999305555553</v>
      </c>
      <c r="C66" s="42">
        <v>45230.999305555553</v>
      </c>
      <c r="D66" s="6"/>
      <c r="E66" s="50" t="s">
        <v>563</v>
      </c>
      <c r="F66" s="45">
        <v>0</v>
      </c>
      <c r="G66" s="45">
        <v>2894.67</v>
      </c>
      <c r="H66" s="45">
        <v>89096176.349999994</v>
      </c>
      <c r="I66" s="45">
        <v>160</v>
      </c>
      <c r="J66" s="45" t="s">
        <v>632</v>
      </c>
      <c r="K66" s="45" t="s">
        <v>218</v>
      </c>
      <c r="L66" s="45">
        <f t="shared" si="1"/>
        <v>2894.67</v>
      </c>
      <c r="M66" s="24" t="str">
        <f>IF(COUNTIF(Outflows!$E$7:$E$1000,J66)+COUNTIF(Inflows!$E$7:$E$1000,J66)&gt;0,"Matched","Unmatched")</f>
        <v>Unmatched</v>
      </c>
    </row>
    <row r="67" spans="1:13" ht="24">
      <c r="A67" s="6" t="s">
        <v>560</v>
      </c>
      <c r="B67" s="42">
        <v>45247.34097222222</v>
      </c>
      <c r="C67" s="42">
        <v>45247.34097222222</v>
      </c>
      <c r="D67" s="6"/>
      <c r="E67" s="50" t="s">
        <v>633</v>
      </c>
      <c r="F67" s="45">
        <v>2900</v>
      </c>
      <c r="G67" s="45">
        <v>0</v>
      </c>
      <c r="H67" s="45">
        <v>57142697.420000002</v>
      </c>
      <c r="I67" s="45">
        <v>803</v>
      </c>
      <c r="J67" s="45" t="s">
        <v>634</v>
      </c>
      <c r="K67" s="45"/>
      <c r="L67" s="45">
        <f t="shared" si="1"/>
        <v>-2900</v>
      </c>
      <c r="M67" s="24" t="str">
        <f>IF(COUNTIF(Outflows!$E$7:$E$1000,J67)+COUNTIF(Inflows!$E$7:$E$1000,J67)&gt;0,"Matched","Unmatched")</f>
        <v>Matched</v>
      </c>
    </row>
    <row r="68" spans="1:13" ht="24">
      <c r="A68" s="6" t="s">
        <v>560</v>
      </c>
      <c r="B68" s="42">
        <v>45247.34097222222</v>
      </c>
      <c r="C68" s="42">
        <v>45247.34097222222</v>
      </c>
      <c r="D68" s="6"/>
      <c r="E68" s="50" t="s">
        <v>633</v>
      </c>
      <c r="F68" s="45">
        <v>31950000</v>
      </c>
      <c r="G68" s="45">
        <v>0</v>
      </c>
      <c r="H68" s="45">
        <v>57145597.420000002</v>
      </c>
      <c r="I68" s="45" t="s">
        <v>629</v>
      </c>
      <c r="J68" s="45" t="s">
        <v>634</v>
      </c>
      <c r="K68" s="45"/>
      <c r="L68" s="45">
        <f t="shared" si="1"/>
        <v>-31950000</v>
      </c>
      <c r="M68" s="24" t="str">
        <f>IF(COUNTIF(Outflows!$E$7:$E$1000,J68)+COUNTIF(Inflows!$E$7:$E$1000,J68)&gt;0,"Matched","Unmatched")</f>
        <v>Matched</v>
      </c>
    </row>
    <row r="69" spans="1:13" ht="24">
      <c r="A69" s="6" t="s">
        <v>560</v>
      </c>
      <c r="B69" s="42">
        <v>45250.339583321758</v>
      </c>
      <c r="C69" s="42">
        <v>45250.339583321758</v>
      </c>
      <c r="D69" s="6"/>
      <c r="E69" s="50" t="s">
        <v>635</v>
      </c>
      <c r="F69" s="45">
        <v>2900</v>
      </c>
      <c r="G69" s="45">
        <v>0</v>
      </c>
      <c r="H69" s="45">
        <v>56839797.420000002</v>
      </c>
      <c r="I69" s="45">
        <v>803</v>
      </c>
      <c r="J69" s="45" t="s">
        <v>636</v>
      </c>
      <c r="K69" s="45"/>
      <c r="L69" s="45">
        <f t="shared" si="1"/>
        <v>-2900</v>
      </c>
      <c r="M69" s="24" t="str">
        <f>IF(COUNTIF(Outflows!$E$7:$E$1000,J69)+COUNTIF(Inflows!$E$7:$E$1000,J69)&gt;0,"Matched","Unmatched")</f>
        <v>Matched</v>
      </c>
    </row>
    <row r="70" spans="1:13" ht="24">
      <c r="A70" s="6" t="s">
        <v>560</v>
      </c>
      <c r="B70" s="42">
        <v>45250.339583321758</v>
      </c>
      <c r="C70" s="42">
        <v>45250.339583321758</v>
      </c>
      <c r="D70" s="6"/>
      <c r="E70" s="50" t="s">
        <v>635</v>
      </c>
      <c r="F70" s="45">
        <v>300000</v>
      </c>
      <c r="G70" s="45">
        <v>0</v>
      </c>
      <c r="H70" s="45">
        <v>56842697.420000002</v>
      </c>
      <c r="I70" s="45">
        <v>63</v>
      </c>
      <c r="J70" s="45" t="s">
        <v>636</v>
      </c>
      <c r="K70" s="45"/>
      <c r="L70" s="45">
        <f t="shared" si="1"/>
        <v>-300000</v>
      </c>
      <c r="M70" s="24" t="str">
        <f>IF(COUNTIF(Outflows!$E$7:$E$1000,J70)+COUNTIF(Inflows!$E$7:$E$1000,J70)&gt;0,"Matched","Unmatched")</f>
        <v>Matched</v>
      </c>
    </row>
    <row r="71" spans="1:13">
      <c r="A71" s="7" t="s">
        <v>560</v>
      </c>
      <c r="B71" s="43">
        <v>45250.999305555553</v>
      </c>
      <c r="C71" s="43">
        <v>45250.999305555553</v>
      </c>
      <c r="D71" s="7"/>
      <c r="E71" s="51" t="s">
        <v>576</v>
      </c>
      <c r="F71" s="46">
        <v>30000</v>
      </c>
      <c r="G71" s="46">
        <v>0</v>
      </c>
      <c r="H71" s="46">
        <v>56809797.420000002</v>
      </c>
      <c r="I71" s="46">
        <v>480</v>
      </c>
      <c r="J71" s="46" t="s">
        <v>637</v>
      </c>
      <c r="K71" s="46"/>
      <c r="L71" s="46">
        <f t="shared" si="1"/>
        <v>-30000</v>
      </c>
      <c r="M71" s="25" t="str">
        <f>IF(COUNTIF(Outflows!$E$7:$E$1000,J71)+COUNTIF(Inflows!$E$7:$E$1000,J71)&gt;0,"Matched","Unmatched")</f>
        <v>Matched</v>
      </c>
    </row>
  </sheetData>
  <mergeCells count="2">
    <mergeCell ref="A1:M1"/>
    <mergeCell ref="A2:M2"/>
  </mergeCells>
  <conditionalFormatting sqref="M8:M71">
    <cfRule type="containsText" dxfId="17" priority="1" operator="containsText" text="PASS"/>
    <cfRule type="containsText" dxfId="16" priority="2" operator="containsText" text="FAIL"/>
    <cfRule type="containsText" dxfId="15" priority="3" operator="containsText" text="WARNING"/>
  </conditionalFormatting>
  <hyperlinks>
    <hyperlink ref="J1" location="Cover!A1" tooltip="Back to Cover" display="← Back to Cover" xr:uid="{996792B0-9B32-4A8F-B93D-7A0E8B5C78C8}"/>
    <hyperlink ref="N4" location="Cover!A1" tooltip="Back to Cover" display="← Back to Cover" xr:uid="{BA78E5C7-E70A-4A3A-8502-E007C1331E68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N60"/>
  <sheetViews>
    <sheetView showGridLines="0" topLeftCell="A32" workbookViewId="0">
      <selection sqref="A1:M1"/>
    </sheetView>
  </sheetViews>
  <sheetFormatPr defaultRowHeight="13.5"/>
  <cols>
    <col min="1" max="1" width="42" customWidth="1"/>
    <col min="2" max="3" width="18" customWidth="1"/>
    <col min="4" max="4" width="14" customWidth="1"/>
    <col min="5" max="5" width="65" customWidth="1"/>
    <col min="6" max="8" width="18" customWidth="1"/>
    <col min="9" max="10" width="20" customWidth="1"/>
    <col min="11" max="11" width="15" customWidth="1"/>
    <col min="12" max="13" width="18" customWidth="1"/>
  </cols>
  <sheetData>
    <row r="1" spans="1:14" ht="30" customHeight="1">
      <c r="A1" s="146" t="s">
        <v>638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25"/>
    </row>
    <row r="2" spans="1:14" ht="28.15" customHeight="1">
      <c r="A2" s="150" t="s">
        <v>541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4" spans="1:14" ht="13.9">
      <c r="A4" s="47" t="s">
        <v>542</v>
      </c>
      <c r="B4" s="54">
        <f>H8-G8+F8</f>
        <v>0</v>
      </c>
      <c r="C4" s="54" t="s">
        <v>543</v>
      </c>
      <c r="D4" s="54">
        <f>H60</f>
        <v>366007.27</v>
      </c>
      <c r="E4" s="47"/>
      <c r="F4" s="47" t="s">
        <v>544</v>
      </c>
      <c r="G4" s="54">
        <f>SUM(F8:F60)</f>
        <v>389334.22</v>
      </c>
      <c r="H4" s="54" t="s">
        <v>545</v>
      </c>
      <c r="I4" s="54">
        <f>SUM(G8:G60)</f>
        <v>755341.49</v>
      </c>
      <c r="N4" s="123" t="s">
        <v>99</v>
      </c>
    </row>
    <row r="5" spans="1:14" ht="13.9">
      <c r="A5" s="47" t="s">
        <v>546</v>
      </c>
      <c r="B5" s="54">
        <f>B4+I4-G4</f>
        <v>366007.27</v>
      </c>
      <c r="C5" s="54" t="s">
        <v>227</v>
      </c>
      <c r="D5" s="54">
        <f>B5-D4</f>
        <v>0</v>
      </c>
      <c r="E5" s="47"/>
      <c r="F5" s="47"/>
      <c r="G5" s="47"/>
      <c r="H5" s="47"/>
      <c r="I5" s="47"/>
    </row>
    <row r="7" spans="1:14" ht="30" customHeight="1">
      <c r="A7" s="2" t="s">
        <v>547</v>
      </c>
      <c r="B7" s="3" t="s">
        <v>548</v>
      </c>
      <c r="C7" s="3" t="s">
        <v>549</v>
      </c>
      <c r="D7" s="3" t="s">
        <v>550</v>
      </c>
      <c r="E7" s="3" t="s">
        <v>551</v>
      </c>
      <c r="F7" s="3" t="s">
        <v>639</v>
      </c>
      <c r="G7" s="3" t="s">
        <v>640</v>
      </c>
      <c r="H7" s="3" t="s">
        <v>641</v>
      </c>
      <c r="I7" s="3" t="s">
        <v>555</v>
      </c>
      <c r="J7" s="3" t="s">
        <v>556</v>
      </c>
      <c r="K7" s="3" t="s">
        <v>557</v>
      </c>
      <c r="L7" s="3" t="s">
        <v>558</v>
      </c>
      <c r="M7" s="4" t="s">
        <v>559</v>
      </c>
    </row>
    <row r="8" spans="1:14">
      <c r="A8" s="5" t="s">
        <v>642</v>
      </c>
      <c r="B8" s="41">
        <v>44924.549305555556</v>
      </c>
      <c r="C8" s="41">
        <v>44924.549305555556</v>
      </c>
      <c r="D8" s="5"/>
      <c r="E8" s="49" t="s">
        <v>643</v>
      </c>
      <c r="F8" s="52">
        <v>0</v>
      </c>
      <c r="G8" s="52">
        <v>221995</v>
      </c>
      <c r="H8" s="52">
        <v>221995</v>
      </c>
      <c r="I8" s="52">
        <v>514</v>
      </c>
      <c r="J8" s="52" t="s">
        <v>644</v>
      </c>
      <c r="K8" s="52" t="s">
        <v>218</v>
      </c>
      <c r="L8" s="52">
        <f t="shared" ref="L8:L39" si="0">G8-F8</f>
        <v>221995</v>
      </c>
      <c r="M8" s="23" t="str">
        <f>IF(COUNTIF(Outflows!$E$7:$E$1000,J8)+COUNTIF(Inflows!$E$7:$E$1000,J8)&gt;0,"Matched","Unmatched")</f>
        <v>Unmatched</v>
      </c>
    </row>
    <row r="9" spans="1:14">
      <c r="A9" s="6" t="s">
        <v>642</v>
      </c>
      <c r="B9" s="42">
        <v>44924.570833333331</v>
      </c>
      <c r="C9" s="42">
        <v>44924.570833333331</v>
      </c>
      <c r="D9" s="6"/>
      <c r="E9" s="50" t="s">
        <v>645</v>
      </c>
      <c r="F9" s="53">
        <v>10000</v>
      </c>
      <c r="G9" s="53">
        <v>0</v>
      </c>
      <c r="H9" s="53">
        <v>211995</v>
      </c>
      <c r="I9" s="53">
        <v>565</v>
      </c>
      <c r="J9" s="53" t="s">
        <v>562</v>
      </c>
      <c r="K9" s="53"/>
      <c r="L9" s="53">
        <f t="shared" si="0"/>
        <v>-10000</v>
      </c>
      <c r="M9" s="24" t="str">
        <f>IF(COUNTIF(Outflows!$E$7:$E$1000,J9)+COUNTIF(Inflows!$E$7:$E$1000,J9)&gt;0,"Matched","Unmatched")</f>
        <v>Unmatched</v>
      </c>
    </row>
    <row r="10" spans="1:14">
      <c r="A10" s="6" t="s">
        <v>642</v>
      </c>
      <c r="B10" s="42">
        <v>44926.999305555553</v>
      </c>
      <c r="C10" s="42">
        <v>44926.999305555553</v>
      </c>
      <c r="D10" s="6"/>
      <c r="E10" s="50" t="s">
        <v>563</v>
      </c>
      <c r="F10" s="53">
        <v>0</v>
      </c>
      <c r="G10" s="53">
        <v>1.79</v>
      </c>
      <c r="H10" s="53">
        <v>211996.79</v>
      </c>
      <c r="I10" s="53">
        <v>160</v>
      </c>
      <c r="J10" s="53" t="s">
        <v>646</v>
      </c>
      <c r="K10" s="53" t="s">
        <v>218</v>
      </c>
      <c r="L10" s="53">
        <f t="shared" si="0"/>
        <v>1.79</v>
      </c>
      <c r="M10" s="24" t="str">
        <f>IF(COUNTIF(Outflows!$E$7:$E$1000,J10)+COUNTIF(Inflows!$E$7:$E$1000,J10)&gt;0,"Matched","Unmatched")</f>
        <v>Unmatched</v>
      </c>
    </row>
    <row r="11" spans="1:14">
      <c r="A11" s="6" t="s">
        <v>642</v>
      </c>
      <c r="B11" s="42">
        <v>44926.999305555553</v>
      </c>
      <c r="C11" s="42">
        <v>44926.999305555553</v>
      </c>
      <c r="D11" s="6"/>
      <c r="E11" s="50" t="s">
        <v>565</v>
      </c>
      <c r="F11" s="53">
        <v>0.36</v>
      </c>
      <c r="G11" s="53">
        <v>0</v>
      </c>
      <c r="H11" s="53">
        <v>211996.43</v>
      </c>
      <c r="I11" s="53">
        <v>198</v>
      </c>
      <c r="J11" s="53" t="s">
        <v>647</v>
      </c>
      <c r="K11" s="53"/>
      <c r="L11" s="53">
        <f t="shared" si="0"/>
        <v>-0.36</v>
      </c>
      <c r="M11" s="24" t="str">
        <f>IF(COUNTIF(Outflows!$E$7:$E$1000,J11)+COUNTIF(Inflows!$E$7:$E$1000,J11)&gt;0,"Matched","Unmatched")</f>
        <v>Unmatched</v>
      </c>
    </row>
    <row r="12" spans="1:14">
      <c r="A12" s="6" t="s">
        <v>642</v>
      </c>
      <c r="B12" s="42">
        <v>44944.581944444442</v>
      </c>
      <c r="C12" s="42">
        <v>44944.581944444442</v>
      </c>
      <c r="D12" s="6"/>
      <c r="E12" s="50" t="s">
        <v>648</v>
      </c>
      <c r="F12" s="53">
        <v>7000</v>
      </c>
      <c r="G12" s="53">
        <v>0</v>
      </c>
      <c r="H12" s="53">
        <v>204996.43</v>
      </c>
      <c r="I12" s="53">
        <v>565</v>
      </c>
      <c r="J12" s="53" t="s">
        <v>573</v>
      </c>
      <c r="K12" s="53"/>
      <c r="L12" s="53">
        <f t="shared" si="0"/>
        <v>-7000</v>
      </c>
      <c r="M12" s="24" t="str">
        <f>IF(COUNTIF(Outflows!$E$7:$E$1000,J12)+COUNTIF(Inflows!$E$7:$E$1000,J12)&gt;0,"Matched","Unmatched")</f>
        <v>Unmatched</v>
      </c>
    </row>
    <row r="13" spans="1:14">
      <c r="A13" s="6" t="s">
        <v>642</v>
      </c>
      <c r="B13" s="42">
        <v>44946.999305555553</v>
      </c>
      <c r="C13" s="42">
        <v>44946.999305555553</v>
      </c>
      <c r="D13" s="6"/>
      <c r="E13" s="50" t="s">
        <v>576</v>
      </c>
      <c r="F13" s="53">
        <v>5</v>
      </c>
      <c r="G13" s="53">
        <v>0</v>
      </c>
      <c r="H13" s="53">
        <v>204991.43</v>
      </c>
      <c r="I13" s="53">
        <v>480</v>
      </c>
      <c r="J13" s="53" t="s">
        <v>649</v>
      </c>
      <c r="K13" s="53"/>
      <c r="L13" s="53">
        <f t="shared" si="0"/>
        <v>-5</v>
      </c>
      <c r="M13" s="24" t="str">
        <f>IF(COUNTIF(Outflows!$E$7:$E$1000,J13)+COUNTIF(Inflows!$E$7:$E$1000,J13)&gt;0,"Matched","Unmatched")</f>
        <v>Matched</v>
      </c>
    </row>
    <row r="14" spans="1:14">
      <c r="A14" s="6" t="s">
        <v>642</v>
      </c>
      <c r="B14" s="42">
        <v>44952.584722222222</v>
      </c>
      <c r="C14" s="42">
        <v>44952.584722222222</v>
      </c>
      <c r="D14" s="6"/>
      <c r="E14" s="50" t="s">
        <v>650</v>
      </c>
      <c r="F14" s="53">
        <v>5500</v>
      </c>
      <c r="G14" s="53">
        <v>0</v>
      </c>
      <c r="H14" s="53">
        <v>199491.43</v>
      </c>
      <c r="I14" s="53">
        <v>565</v>
      </c>
      <c r="J14" s="53" t="s">
        <v>579</v>
      </c>
      <c r="K14" s="53"/>
      <c r="L14" s="53">
        <f t="shared" si="0"/>
        <v>-5500</v>
      </c>
      <c r="M14" s="24" t="str">
        <f>IF(COUNTIF(Outflows!$E$7:$E$1000,J14)+COUNTIF(Inflows!$E$7:$E$1000,J14)&gt;0,"Matched","Unmatched")</f>
        <v>Unmatched</v>
      </c>
    </row>
    <row r="15" spans="1:14">
      <c r="A15" s="6" t="s">
        <v>642</v>
      </c>
      <c r="B15" s="42">
        <v>44957.999305555553</v>
      </c>
      <c r="C15" s="42">
        <v>44957.999305555553</v>
      </c>
      <c r="D15" s="6"/>
      <c r="E15" s="50" t="s">
        <v>565</v>
      </c>
      <c r="F15" s="53">
        <v>4.0199999999999996</v>
      </c>
      <c r="G15" s="53">
        <v>0</v>
      </c>
      <c r="H15" s="53">
        <v>199507.51</v>
      </c>
      <c r="I15" s="53">
        <v>198</v>
      </c>
      <c r="J15" s="53" t="s">
        <v>651</v>
      </c>
      <c r="K15" s="53"/>
      <c r="L15" s="53">
        <f t="shared" si="0"/>
        <v>-4.0199999999999996</v>
      </c>
      <c r="M15" s="24" t="str">
        <f>IF(COUNTIF(Outflows!$E$7:$E$1000,J15)+COUNTIF(Inflows!$E$7:$E$1000,J15)&gt;0,"Matched","Unmatched")</f>
        <v>Matched</v>
      </c>
    </row>
    <row r="16" spans="1:14">
      <c r="A16" s="6" t="s">
        <v>642</v>
      </c>
      <c r="B16" s="42">
        <v>44957.999305555553</v>
      </c>
      <c r="C16" s="42">
        <v>44957.999305555553</v>
      </c>
      <c r="D16" s="6"/>
      <c r="E16" s="50" t="s">
        <v>563</v>
      </c>
      <c r="F16" s="53">
        <v>0</v>
      </c>
      <c r="G16" s="53">
        <v>20.100000000000001</v>
      </c>
      <c r="H16" s="53">
        <v>199511.53</v>
      </c>
      <c r="I16" s="53">
        <v>160</v>
      </c>
      <c r="J16" s="53" t="s">
        <v>652</v>
      </c>
      <c r="K16" s="53" t="s">
        <v>218</v>
      </c>
      <c r="L16" s="53">
        <f t="shared" si="0"/>
        <v>20.100000000000001</v>
      </c>
      <c r="M16" s="24" t="str">
        <f>IF(COUNTIF(Outflows!$E$7:$E$1000,J16)+COUNTIF(Inflows!$E$7:$E$1000,J16)&gt;0,"Matched","Unmatched")</f>
        <v>Unmatched</v>
      </c>
    </row>
    <row r="17" spans="1:13" ht="24">
      <c r="A17" s="6" t="s">
        <v>642</v>
      </c>
      <c r="B17" s="42">
        <v>44973.334722222222</v>
      </c>
      <c r="C17" s="42">
        <v>44973.334722222222</v>
      </c>
      <c r="D17" s="6"/>
      <c r="E17" s="50" t="s">
        <v>653</v>
      </c>
      <c r="F17" s="53">
        <v>0</v>
      </c>
      <c r="G17" s="53">
        <v>221995</v>
      </c>
      <c r="H17" s="53">
        <v>421502.51</v>
      </c>
      <c r="I17" s="53">
        <v>626</v>
      </c>
      <c r="J17" s="53" t="s">
        <v>654</v>
      </c>
      <c r="K17" s="53" t="s">
        <v>218</v>
      </c>
      <c r="L17" s="53">
        <f t="shared" si="0"/>
        <v>221995</v>
      </c>
      <c r="M17" s="24" t="str">
        <f>IF(COUNTIF(Outflows!$E$7:$E$1000,J17)+COUNTIF(Inflows!$E$7:$E$1000,J17)&gt;0,"Matched","Unmatched")</f>
        <v>Unmatched</v>
      </c>
    </row>
    <row r="18" spans="1:13">
      <c r="A18" s="6" t="s">
        <v>642</v>
      </c>
      <c r="B18" s="42">
        <v>44977.999305555553</v>
      </c>
      <c r="C18" s="42">
        <v>44977.999305555553</v>
      </c>
      <c r="D18" s="6"/>
      <c r="E18" s="50" t="s">
        <v>576</v>
      </c>
      <c r="F18" s="53">
        <v>5</v>
      </c>
      <c r="G18" s="53">
        <v>0</v>
      </c>
      <c r="H18" s="53">
        <v>421497.51</v>
      </c>
      <c r="I18" s="53">
        <v>480</v>
      </c>
      <c r="J18" s="53" t="s">
        <v>655</v>
      </c>
      <c r="K18" s="53"/>
      <c r="L18" s="53">
        <f t="shared" si="0"/>
        <v>-5</v>
      </c>
      <c r="M18" s="24" t="str">
        <f>IF(COUNTIF(Outflows!$E$7:$E$1000,J18)+COUNTIF(Inflows!$E$7:$E$1000,J18)&gt;0,"Matched","Unmatched")</f>
        <v>Matched</v>
      </c>
    </row>
    <row r="19" spans="1:13">
      <c r="A19" s="6" t="s">
        <v>642</v>
      </c>
      <c r="B19" s="42">
        <v>44985.999305555553</v>
      </c>
      <c r="C19" s="42">
        <v>44985.999305555553</v>
      </c>
      <c r="D19" s="6"/>
      <c r="E19" s="50" t="s">
        <v>565</v>
      </c>
      <c r="F19" s="53">
        <v>5.81</v>
      </c>
      <c r="G19" s="53">
        <v>0</v>
      </c>
      <c r="H19" s="53">
        <v>421520.76</v>
      </c>
      <c r="I19" s="53">
        <v>198</v>
      </c>
      <c r="J19" s="53" t="s">
        <v>656</v>
      </c>
      <c r="K19" s="53"/>
      <c r="L19" s="53">
        <f t="shared" si="0"/>
        <v>-5.81</v>
      </c>
      <c r="M19" s="24" t="str">
        <f>IF(COUNTIF(Outflows!$E$7:$E$1000,J19)+COUNTIF(Inflows!$E$7:$E$1000,J19)&gt;0,"Matched","Unmatched")</f>
        <v>Matched</v>
      </c>
    </row>
    <row r="20" spans="1:13">
      <c r="A20" s="6" t="s">
        <v>642</v>
      </c>
      <c r="B20" s="42">
        <v>44985.999305555553</v>
      </c>
      <c r="C20" s="42">
        <v>44985.999305555553</v>
      </c>
      <c r="D20" s="6"/>
      <c r="E20" s="50" t="s">
        <v>563</v>
      </c>
      <c r="F20" s="53">
        <v>0</v>
      </c>
      <c r="G20" s="53">
        <v>29.06</v>
      </c>
      <c r="H20" s="53">
        <v>421526.57</v>
      </c>
      <c r="I20" s="53">
        <v>160</v>
      </c>
      <c r="J20" s="53" t="s">
        <v>657</v>
      </c>
      <c r="K20" s="53" t="s">
        <v>218</v>
      </c>
      <c r="L20" s="53">
        <f t="shared" si="0"/>
        <v>29.06</v>
      </c>
      <c r="M20" s="24" t="str">
        <f>IF(COUNTIF(Outflows!$E$7:$E$1000,J20)+COUNTIF(Inflows!$E$7:$E$1000,J20)&gt;0,"Matched","Unmatched")</f>
        <v>Unmatched</v>
      </c>
    </row>
    <row r="21" spans="1:13">
      <c r="A21" s="6" t="s">
        <v>642</v>
      </c>
      <c r="B21" s="42">
        <v>45001.459027777775</v>
      </c>
      <c r="C21" s="42">
        <v>45001.459027777775</v>
      </c>
      <c r="D21" s="6"/>
      <c r="E21" s="50" t="s">
        <v>650</v>
      </c>
      <c r="F21" s="53">
        <v>10000</v>
      </c>
      <c r="G21" s="53">
        <v>0</v>
      </c>
      <c r="H21" s="53">
        <v>411520.76</v>
      </c>
      <c r="I21" s="53">
        <v>565</v>
      </c>
      <c r="J21" s="53" t="s">
        <v>583</v>
      </c>
      <c r="K21" s="53"/>
      <c r="L21" s="53">
        <f t="shared" si="0"/>
        <v>-10000</v>
      </c>
      <c r="M21" s="24" t="str">
        <f>IF(COUNTIF(Outflows!$E$7:$E$1000,J21)+COUNTIF(Inflows!$E$7:$E$1000,J21)&gt;0,"Matched","Unmatched")</f>
        <v>Unmatched</v>
      </c>
    </row>
    <row r="22" spans="1:13">
      <c r="A22" s="6" t="s">
        <v>642</v>
      </c>
      <c r="B22" s="42">
        <v>45005.999305555553</v>
      </c>
      <c r="C22" s="42">
        <v>45005.999305555553</v>
      </c>
      <c r="D22" s="6"/>
      <c r="E22" s="50" t="s">
        <v>576</v>
      </c>
      <c r="F22" s="53">
        <v>5</v>
      </c>
      <c r="G22" s="53">
        <v>0</v>
      </c>
      <c r="H22" s="53">
        <v>411515.76</v>
      </c>
      <c r="I22" s="53">
        <v>480</v>
      </c>
      <c r="J22" s="53" t="s">
        <v>658</v>
      </c>
      <c r="K22" s="53"/>
      <c r="L22" s="53">
        <f t="shared" si="0"/>
        <v>-5</v>
      </c>
      <c r="M22" s="24" t="str">
        <f>IF(COUNTIF(Outflows!$E$7:$E$1000,J22)+COUNTIF(Inflows!$E$7:$E$1000,J22)&gt;0,"Matched","Unmatched")</f>
        <v>Matched</v>
      </c>
    </row>
    <row r="23" spans="1:13">
      <c r="A23" s="6" t="s">
        <v>642</v>
      </c>
      <c r="B23" s="42">
        <v>45016.999305555553</v>
      </c>
      <c r="C23" s="42">
        <v>45016.999305555553</v>
      </c>
      <c r="D23" s="6"/>
      <c r="E23" s="50" t="s">
        <v>565</v>
      </c>
      <c r="F23" s="53">
        <v>9.33</v>
      </c>
      <c r="G23" s="53">
        <v>0</v>
      </c>
      <c r="H23" s="53">
        <v>411553.1</v>
      </c>
      <c r="I23" s="53">
        <v>198</v>
      </c>
      <c r="J23" s="53" t="s">
        <v>659</v>
      </c>
      <c r="K23" s="53"/>
      <c r="L23" s="53">
        <f t="shared" si="0"/>
        <v>-9.33</v>
      </c>
      <c r="M23" s="24" t="str">
        <f>IF(COUNTIF(Outflows!$E$7:$E$1000,J23)+COUNTIF(Inflows!$E$7:$E$1000,J23)&gt;0,"Matched","Unmatched")</f>
        <v>Unmatched</v>
      </c>
    </row>
    <row r="24" spans="1:13">
      <c r="A24" s="6" t="s">
        <v>642</v>
      </c>
      <c r="B24" s="42">
        <v>45016.999305555553</v>
      </c>
      <c r="C24" s="42">
        <v>45016.999305555553</v>
      </c>
      <c r="D24" s="6"/>
      <c r="E24" s="50" t="s">
        <v>563</v>
      </c>
      <c r="F24" s="53">
        <v>0</v>
      </c>
      <c r="G24" s="53">
        <v>46.67</v>
      </c>
      <c r="H24" s="53">
        <v>411562.43</v>
      </c>
      <c r="I24" s="53">
        <v>160</v>
      </c>
      <c r="J24" s="53" t="s">
        <v>660</v>
      </c>
      <c r="K24" s="53" t="s">
        <v>218</v>
      </c>
      <c r="L24" s="53">
        <f t="shared" si="0"/>
        <v>46.67</v>
      </c>
      <c r="M24" s="24" t="str">
        <f>IF(COUNTIF(Outflows!$E$7:$E$1000,J24)+COUNTIF(Inflows!$E$7:$E$1000,J24)&gt;0,"Matched","Unmatched")</f>
        <v>Unmatched</v>
      </c>
    </row>
    <row r="25" spans="1:13">
      <c r="A25" s="6" t="s">
        <v>642</v>
      </c>
      <c r="B25" s="42">
        <v>45029.540277777778</v>
      </c>
      <c r="C25" s="42">
        <v>45029.540277777778</v>
      </c>
      <c r="D25" s="6"/>
      <c r="E25" s="50" t="s">
        <v>661</v>
      </c>
      <c r="F25" s="53">
        <v>3000</v>
      </c>
      <c r="G25" s="53">
        <v>0</v>
      </c>
      <c r="H25" s="53">
        <v>408553.1</v>
      </c>
      <c r="I25" s="53">
        <v>565</v>
      </c>
      <c r="J25" s="53" t="s">
        <v>588</v>
      </c>
      <c r="K25" s="53"/>
      <c r="L25" s="53">
        <f t="shared" si="0"/>
        <v>-3000</v>
      </c>
      <c r="M25" s="24" t="str">
        <f>IF(COUNTIF(Outflows!$E$7:$E$1000,J25)+COUNTIF(Inflows!$E$7:$E$1000,J25)&gt;0,"Matched","Unmatched")</f>
        <v>Unmatched</v>
      </c>
    </row>
    <row r="26" spans="1:13">
      <c r="A26" s="6" t="s">
        <v>642</v>
      </c>
      <c r="B26" s="42">
        <v>45036.999305555553</v>
      </c>
      <c r="C26" s="42">
        <v>45036.999305555553</v>
      </c>
      <c r="D26" s="6"/>
      <c r="E26" s="50" t="s">
        <v>576</v>
      </c>
      <c r="F26" s="53">
        <v>5</v>
      </c>
      <c r="G26" s="53">
        <v>0</v>
      </c>
      <c r="H26" s="53">
        <v>408548.1</v>
      </c>
      <c r="I26" s="53">
        <v>480</v>
      </c>
      <c r="J26" s="53" t="s">
        <v>662</v>
      </c>
      <c r="K26" s="53"/>
      <c r="L26" s="53">
        <f t="shared" si="0"/>
        <v>-5</v>
      </c>
      <c r="M26" s="24" t="str">
        <f>IF(COUNTIF(Outflows!$E$7:$E$1000,J26)+COUNTIF(Inflows!$E$7:$E$1000,J26)&gt;0,"Matched","Unmatched")</f>
        <v>Matched</v>
      </c>
    </row>
    <row r="27" spans="1:13">
      <c r="A27" s="6" t="s">
        <v>642</v>
      </c>
      <c r="B27" s="42">
        <v>45046.999305555553</v>
      </c>
      <c r="C27" s="42">
        <v>45046.999305555553</v>
      </c>
      <c r="D27" s="6"/>
      <c r="E27" s="50" t="s">
        <v>565</v>
      </c>
      <c r="F27" s="53">
        <v>8.8699999999999992</v>
      </c>
      <c r="G27" s="53">
        <v>0</v>
      </c>
      <c r="H27" s="53">
        <v>408583.58</v>
      </c>
      <c r="I27" s="53">
        <v>198</v>
      </c>
      <c r="J27" s="53" t="s">
        <v>663</v>
      </c>
      <c r="K27" s="53"/>
      <c r="L27" s="53">
        <f t="shared" si="0"/>
        <v>-8.8699999999999992</v>
      </c>
      <c r="M27" s="24" t="str">
        <f>IF(COUNTIF(Outflows!$E$7:$E$1000,J27)+COUNTIF(Inflows!$E$7:$E$1000,J27)&gt;0,"Matched","Unmatched")</f>
        <v>Matched</v>
      </c>
    </row>
    <row r="28" spans="1:13">
      <c r="A28" s="6" t="s">
        <v>642</v>
      </c>
      <c r="B28" s="42">
        <v>45046.999305555553</v>
      </c>
      <c r="C28" s="42">
        <v>45046.999305555553</v>
      </c>
      <c r="D28" s="6"/>
      <c r="E28" s="50" t="s">
        <v>563</v>
      </c>
      <c r="F28" s="53">
        <v>0</v>
      </c>
      <c r="G28" s="53">
        <v>44.35</v>
      </c>
      <c r="H28" s="53">
        <v>408592.45</v>
      </c>
      <c r="I28" s="53">
        <v>160</v>
      </c>
      <c r="J28" s="53" t="s">
        <v>664</v>
      </c>
      <c r="K28" s="53" t="s">
        <v>218</v>
      </c>
      <c r="L28" s="53">
        <f t="shared" si="0"/>
        <v>44.35</v>
      </c>
      <c r="M28" s="24" t="str">
        <f>IF(COUNTIF(Outflows!$E$7:$E$1000,J28)+COUNTIF(Inflows!$E$7:$E$1000,J28)&gt;0,"Matched","Unmatched")</f>
        <v>Unmatched</v>
      </c>
    </row>
    <row r="29" spans="1:13">
      <c r="A29" s="6" t="s">
        <v>642</v>
      </c>
      <c r="B29" s="42">
        <v>45066.999305555553</v>
      </c>
      <c r="C29" s="42">
        <v>45066.999305555553</v>
      </c>
      <c r="D29" s="6"/>
      <c r="E29" s="50" t="s">
        <v>576</v>
      </c>
      <c r="F29" s="53">
        <v>5</v>
      </c>
      <c r="G29" s="53">
        <v>0</v>
      </c>
      <c r="H29" s="53">
        <v>408578.58</v>
      </c>
      <c r="I29" s="53">
        <v>480</v>
      </c>
      <c r="J29" s="53" t="s">
        <v>665</v>
      </c>
      <c r="K29" s="53"/>
      <c r="L29" s="53">
        <f t="shared" si="0"/>
        <v>-5</v>
      </c>
      <c r="M29" s="24" t="str">
        <f>IF(COUNTIF(Outflows!$E$7:$E$1000,J29)+COUNTIF(Inflows!$E$7:$E$1000,J29)&gt;0,"Matched","Unmatched")</f>
        <v>Matched</v>
      </c>
    </row>
    <row r="30" spans="1:13">
      <c r="A30" s="6" t="s">
        <v>642</v>
      </c>
      <c r="B30" s="42">
        <v>45077.999305555553</v>
      </c>
      <c r="C30" s="42">
        <v>45077.999305555553</v>
      </c>
      <c r="D30" s="6"/>
      <c r="E30" s="50" t="s">
        <v>565</v>
      </c>
      <c r="F30" s="53">
        <v>9.14</v>
      </c>
      <c r="G30" s="53">
        <v>0</v>
      </c>
      <c r="H30" s="53">
        <v>408615.12</v>
      </c>
      <c r="I30" s="53">
        <v>198</v>
      </c>
      <c r="J30" s="53" t="s">
        <v>666</v>
      </c>
      <c r="K30" s="53"/>
      <c r="L30" s="53">
        <f t="shared" si="0"/>
        <v>-9.14</v>
      </c>
      <c r="M30" s="24" t="str">
        <f>IF(COUNTIF(Outflows!$E$7:$E$1000,J30)+COUNTIF(Inflows!$E$7:$E$1000,J30)&gt;0,"Matched","Unmatched")</f>
        <v>Matched</v>
      </c>
    </row>
    <row r="31" spans="1:13">
      <c r="A31" s="6" t="s">
        <v>642</v>
      </c>
      <c r="B31" s="42">
        <v>45077.999305555553</v>
      </c>
      <c r="C31" s="42">
        <v>45077.999305555553</v>
      </c>
      <c r="D31" s="6"/>
      <c r="E31" s="50" t="s">
        <v>563</v>
      </c>
      <c r="F31" s="53">
        <v>0</v>
      </c>
      <c r="G31" s="53">
        <v>45.68</v>
      </c>
      <c r="H31" s="53">
        <v>408624.26</v>
      </c>
      <c r="I31" s="53">
        <v>160</v>
      </c>
      <c r="J31" s="53" t="s">
        <v>667</v>
      </c>
      <c r="K31" s="53" t="s">
        <v>218</v>
      </c>
      <c r="L31" s="53">
        <f t="shared" si="0"/>
        <v>45.68</v>
      </c>
      <c r="M31" s="24" t="str">
        <f>IF(COUNTIF(Outflows!$E$7:$E$1000,J31)+COUNTIF(Inflows!$E$7:$E$1000,J31)&gt;0,"Matched","Unmatched")</f>
        <v>Unmatched</v>
      </c>
    </row>
    <row r="32" spans="1:13">
      <c r="A32" s="6" t="s">
        <v>642</v>
      </c>
      <c r="B32" s="42">
        <v>45097.999305555553</v>
      </c>
      <c r="C32" s="42">
        <v>45097.999305555553</v>
      </c>
      <c r="D32" s="6"/>
      <c r="E32" s="50" t="s">
        <v>576</v>
      </c>
      <c r="F32" s="53">
        <v>5</v>
      </c>
      <c r="G32" s="53">
        <v>0</v>
      </c>
      <c r="H32" s="53">
        <v>408610.12</v>
      </c>
      <c r="I32" s="53">
        <v>480</v>
      </c>
      <c r="J32" s="53" t="s">
        <v>668</v>
      </c>
      <c r="K32" s="53"/>
      <c r="L32" s="53">
        <f t="shared" si="0"/>
        <v>-5</v>
      </c>
      <c r="M32" s="24" t="str">
        <f>IF(COUNTIF(Outflows!$E$7:$E$1000,J32)+COUNTIF(Inflows!$E$7:$E$1000,J32)&gt;0,"Matched","Unmatched")</f>
        <v>Matched</v>
      </c>
    </row>
    <row r="33" spans="1:13">
      <c r="A33" s="6" t="s">
        <v>642</v>
      </c>
      <c r="B33" s="42">
        <v>45099.587500000001</v>
      </c>
      <c r="C33" s="42">
        <v>45099.587500000001</v>
      </c>
      <c r="D33" s="6"/>
      <c r="E33" s="50" t="s">
        <v>669</v>
      </c>
      <c r="F33" s="53">
        <v>80000</v>
      </c>
      <c r="G33" s="53">
        <v>0</v>
      </c>
      <c r="H33" s="53">
        <v>328610.12</v>
      </c>
      <c r="I33" s="53">
        <v>565</v>
      </c>
      <c r="J33" s="53" t="s">
        <v>595</v>
      </c>
      <c r="K33" s="53"/>
      <c r="L33" s="53">
        <f t="shared" si="0"/>
        <v>-80000</v>
      </c>
      <c r="M33" s="24" t="str">
        <f>IF(COUNTIF(Outflows!$E$7:$E$1000,J33)+COUNTIF(Inflows!$E$7:$E$1000,J33)&gt;0,"Matched","Unmatched")</f>
        <v>Unmatched</v>
      </c>
    </row>
    <row r="34" spans="1:13" ht="24">
      <c r="A34" s="6" t="s">
        <v>642</v>
      </c>
      <c r="B34" s="42">
        <v>45104.571527777778</v>
      </c>
      <c r="C34" s="42">
        <v>45104.571527777778</v>
      </c>
      <c r="D34" s="6"/>
      <c r="E34" s="50" t="s">
        <v>670</v>
      </c>
      <c r="F34" s="53">
        <v>26.65</v>
      </c>
      <c r="G34" s="53">
        <v>0</v>
      </c>
      <c r="H34" s="53">
        <v>314257.01</v>
      </c>
      <c r="I34" s="53">
        <v>894</v>
      </c>
      <c r="J34" s="53" t="s">
        <v>671</v>
      </c>
      <c r="K34" s="53"/>
      <c r="L34" s="53">
        <f t="shared" si="0"/>
        <v>-26.65</v>
      </c>
      <c r="M34" s="24" t="str">
        <f>IF(COUNTIF(Outflows!$E$7:$E$1000,J34)+COUNTIF(Inflows!$E$7:$E$1000,J34)&gt;0,"Matched","Unmatched")</f>
        <v>Matched</v>
      </c>
    </row>
    <row r="35" spans="1:13" ht="24">
      <c r="A35" s="6" t="s">
        <v>642</v>
      </c>
      <c r="B35" s="42">
        <v>45104.571527777778</v>
      </c>
      <c r="C35" s="42">
        <v>45104.571527777778</v>
      </c>
      <c r="D35" s="6"/>
      <c r="E35" s="50" t="s">
        <v>670</v>
      </c>
      <c r="F35" s="53">
        <v>5</v>
      </c>
      <c r="G35" s="53">
        <v>0</v>
      </c>
      <c r="H35" s="53">
        <v>314283.65999999997</v>
      </c>
      <c r="I35" s="53">
        <v>803</v>
      </c>
      <c r="J35" s="53" t="s">
        <v>671</v>
      </c>
      <c r="K35" s="53"/>
      <c r="L35" s="53">
        <f t="shared" si="0"/>
        <v>-5</v>
      </c>
      <c r="M35" s="24" t="str">
        <f>IF(COUNTIF(Outflows!$E$7:$E$1000,J35)+COUNTIF(Inflows!$E$7:$E$1000,J35)&gt;0,"Matched","Unmatched")</f>
        <v>Matched</v>
      </c>
    </row>
    <row r="36" spans="1:13" ht="24">
      <c r="A36" s="6" t="s">
        <v>642</v>
      </c>
      <c r="B36" s="42">
        <v>45104.571527777778</v>
      </c>
      <c r="C36" s="42">
        <v>45104.571527777778</v>
      </c>
      <c r="D36" s="6"/>
      <c r="E36" s="50" t="s">
        <v>670</v>
      </c>
      <c r="F36" s="53">
        <v>14321.46</v>
      </c>
      <c r="G36" s="53">
        <v>0</v>
      </c>
      <c r="H36" s="53">
        <v>314288.65999999997</v>
      </c>
      <c r="I36" s="53">
        <v>89</v>
      </c>
      <c r="J36" s="53" t="s">
        <v>671</v>
      </c>
      <c r="K36" s="53"/>
      <c r="L36" s="53">
        <f t="shared" si="0"/>
        <v>-14321.46</v>
      </c>
      <c r="M36" s="24" t="str">
        <f>IF(COUNTIF(Outflows!$E$7:$E$1000,J36)+COUNTIF(Inflows!$E$7:$E$1000,J36)&gt;0,"Matched","Unmatched")</f>
        <v>Matched</v>
      </c>
    </row>
    <row r="37" spans="1:13">
      <c r="A37" s="6" t="s">
        <v>642</v>
      </c>
      <c r="B37" s="42">
        <v>45107.999305555553</v>
      </c>
      <c r="C37" s="42">
        <v>45107.999305555553</v>
      </c>
      <c r="D37" s="6"/>
      <c r="E37" s="50" t="s">
        <v>565</v>
      </c>
      <c r="F37" s="53">
        <v>8.1999999999999993</v>
      </c>
      <c r="G37" s="53">
        <v>0</v>
      </c>
      <c r="H37" s="53">
        <v>314289.83</v>
      </c>
      <c r="I37" s="53">
        <v>198</v>
      </c>
      <c r="J37" s="53" t="s">
        <v>672</v>
      </c>
      <c r="K37" s="53"/>
      <c r="L37" s="53">
        <f t="shared" si="0"/>
        <v>-8.1999999999999993</v>
      </c>
      <c r="M37" s="24" t="str">
        <f>IF(COUNTIF(Outflows!$E$7:$E$1000,J37)+COUNTIF(Inflows!$E$7:$E$1000,J37)&gt;0,"Matched","Unmatched")</f>
        <v>Matched</v>
      </c>
    </row>
    <row r="38" spans="1:13">
      <c r="A38" s="6" t="s">
        <v>642</v>
      </c>
      <c r="B38" s="42">
        <v>45107.999305555553</v>
      </c>
      <c r="C38" s="42">
        <v>45107.999305555553</v>
      </c>
      <c r="D38" s="6"/>
      <c r="E38" s="50" t="s">
        <v>563</v>
      </c>
      <c r="F38" s="53">
        <v>0</v>
      </c>
      <c r="G38" s="53">
        <v>41.02</v>
      </c>
      <c r="H38" s="53">
        <v>314298.03000000003</v>
      </c>
      <c r="I38" s="53">
        <v>160</v>
      </c>
      <c r="J38" s="53" t="s">
        <v>673</v>
      </c>
      <c r="K38" s="53" t="s">
        <v>218</v>
      </c>
      <c r="L38" s="53">
        <f t="shared" si="0"/>
        <v>41.02</v>
      </c>
      <c r="M38" s="24" t="str">
        <f>IF(COUNTIF(Outflows!$E$7:$E$1000,J38)+COUNTIF(Inflows!$E$7:$E$1000,J38)&gt;0,"Matched","Unmatched")</f>
        <v>Unmatched</v>
      </c>
    </row>
    <row r="39" spans="1:13">
      <c r="A39" s="6" t="s">
        <v>642</v>
      </c>
      <c r="B39" s="42">
        <v>45127.999305555553</v>
      </c>
      <c r="C39" s="42">
        <v>45127.999305555553</v>
      </c>
      <c r="D39" s="6"/>
      <c r="E39" s="50" t="s">
        <v>576</v>
      </c>
      <c r="F39" s="53">
        <v>5</v>
      </c>
      <c r="G39" s="53">
        <v>0</v>
      </c>
      <c r="H39" s="53">
        <v>314284.83</v>
      </c>
      <c r="I39" s="53">
        <v>480</v>
      </c>
      <c r="J39" s="53" t="s">
        <v>674</v>
      </c>
      <c r="K39" s="53"/>
      <c r="L39" s="53">
        <f t="shared" si="0"/>
        <v>-5</v>
      </c>
      <c r="M39" s="24" t="str">
        <f>IF(COUNTIF(Outflows!$E$7:$E$1000,J39)+COUNTIF(Inflows!$E$7:$E$1000,J39)&gt;0,"Matched","Unmatched")</f>
        <v>Matched</v>
      </c>
    </row>
    <row r="40" spans="1:13">
      <c r="A40" s="6" t="s">
        <v>642</v>
      </c>
      <c r="B40" s="42">
        <v>45138.467361099538</v>
      </c>
      <c r="C40" s="42">
        <v>45138.467361099538</v>
      </c>
      <c r="D40" s="6"/>
      <c r="E40" s="50" t="s">
        <v>675</v>
      </c>
      <c r="F40" s="53">
        <v>10000</v>
      </c>
      <c r="G40" s="53">
        <v>0</v>
      </c>
      <c r="H40" s="53">
        <v>304284.83</v>
      </c>
      <c r="I40" s="53">
        <v>565</v>
      </c>
      <c r="J40" s="53" t="s">
        <v>606</v>
      </c>
      <c r="K40" s="53"/>
      <c r="L40" s="53">
        <f t="shared" ref="L40:L60" si="1">G40-F40</f>
        <v>-10000</v>
      </c>
      <c r="M40" s="24" t="str">
        <f>IF(COUNTIF(Outflows!$E$7:$E$1000,J40)+COUNTIF(Inflows!$E$7:$E$1000,J40)&gt;0,"Matched","Unmatched")</f>
        <v>Unmatched</v>
      </c>
    </row>
    <row r="41" spans="1:13">
      <c r="A41" s="6" t="s">
        <v>642</v>
      </c>
      <c r="B41" s="42">
        <v>45138.999305555553</v>
      </c>
      <c r="C41" s="42">
        <v>45138.999305555553</v>
      </c>
      <c r="D41" s="6"/>
      <c r="E41" s="50" t="s">
        <v>565</v>
      </c>
      <c r="F41" s="53">
        <v>6.73</v>
      </c>
      <c r="G41" s="53">
        <v>0</v>
      </c>
      <c r="H41" s="53">
        <v>304311.73</v>
      </c>
      <c r="I41" s="53">
        <v>198</v>
      </c>
      <c r="J41" s="53" t="s">
        <v>676</v>
      </c>
      <c r="K41" s="53"/>
      <c r="L41" s="53">
        <f t="shared" si="1"/>
        <v>-6.73</v>
      </c>
      <c r="M41" s="24" t="str">
        <f>IF(COUNTIF(Outflows!$E$7:$E$1000,J41)+COUNTIF(Inflows!$E$7:$E$1000,J41)&gt;0,"Matched","Unmatched")</f>
        <v>Matched</v>
      </c>
    </row>
    <row r="42" spans="1:13">
      <c r="A42" s="6" t="s">
        <v>642</v>
      </c>
      <c r="B42" s="42">
        <v>45138.999305555553</v>
      </c>
      <c r="C42" s="42">
        <v>45138.999305555553</v>
      </c>
      <c r="D42" s="6"/>
      <c r="E42" s="50" t="s">
        <v>563</v>
      </c>
      <c r="F42" s="53">
        <v>0</v>
      </c>
      <c r="G42" s="53">
        <v>33.630000000000003</v>
      </c>
      <c r="H42" s="53">
        <v>304318.46000000002</v>
      </c>
      <c r="I42" s="53">
        <v>160</v>
      </c>
      <c r="J42" s="53" t="s">
        <v>677</v>
      </c>
      <c r="K42" s="53" t="s">
        <v>218</v>
      </c>
      <c r="L42" s="53">
        <f t="shared" si="1"/>
        <v>33.630000000000003</v>
      </c>
      <c r="M42" s="24" t="str">
        <f>IF(COUNTIF(Outflows!$E$7:$E$1000,J42)+COUNTIF(Inflows!$E$7:$E$1000,J42)&gt;0,"Matched","Unmatched")</f>
        <v>Unmatched</v>
      </c>
    </row>
    <row r="43" spans="1:13">
      <c r="A43" s="6" t="s">
        <v>642</v>
      </c>
      <c r="B43" s="42">
        <v>45156.6</v>
      </c>
      <c r="C43" s="42">
        <v>45156.6</v>
      </c>
      <c r="D43" s="6"/>
      <c r="E43" s="50" t="s">
        <v>678</v>
      </c>
      <c r="F43" s="53">
        <v>20000</v>
      </c>
      <c r="G43" s="53">
        <v>0</v>
      </c>
      <c r="H43" s="53">
        <v>284311.73</v>
      </c>
      <c r="I43" s="53">
        <v>565</v>
      </c>
      <c r="J43" s="53" t="s">
        <v>614</v>
      </c>
      <c r="K43" s="53"/>
      <c r="L43" s="53">
        <f t="shared" si="1"/>
        <v>-20000</v>
      </c>
      <c r="M43" s="24" t="str">
        <f>IF(COUNTIF(Outflows!$E$7:$E$1000,J43)+COUNTIF(Inflows!$E$7:$E$1000,J43)&gt;0,"Matched","Unmatched")</f>
        <v>Unmatched</v>
      </c>
    </row>
    <row r="44" spans="1:13">
      <c r="A44" s="6" t="s">
        <v>642</v>
      </c>
      <c r="B44" s="42">
        <v>45158.999305555553</v>
      </c>
      <c r="C44" s="42">
        <v>45158.999305555553</v>
      </c>
      <c r="D44" s="6"/>
      <c r="E44" s="50" t="s">
        <v>576</v>
      </c>
      <c r="F44" s="53">
        <v>5</v>
      </c>
      <c r="G44" s="53">
        <v>0</v>
      </c>
      <c r="H44" s="53">
        <v>284306.73</v>
      </c>
      <c r="I44" s="53">
        <v>480</v>
      </c>
      <c r="J44" s="53" t="s">
        <v>679</v>
      </c>
      <c r="K44" s="53"/>
      <c r="L44" s="53">
        <f t="shared" si="1"/>
        <v>-5</v>
      </c>
      <c r="M44" s="24" t="str">
        <f>IF(COUNTIF(Outflows!$E$7:$E$1000,J44)+COUNTIF(Inflows!$E$7:$E$1000,J44)&gt;0,"Matched","Unmatched")</f>
        <v>Matched</v>
      </c>
    </row>
    <row r="45" spans="1:13">
      <c r="A45" s="6" t="s">
        <v>642</v>
      </c>
      <c r="B45" s="42">
        <v>45169.999305555553</v>
      </c>
      <c r="C45" s="42">
        <v>45169.999305555553</v>
      </c>
      <c r="D45" s="6"/>
      <c r="E45" s="50" t="s">
        <v>565</v>
      </c>
      <c r="F45" s="53">
        <v>6.25</v>
      </c>
      <c r="G45" s="53">
        <v>0</v>
      </c>
      <c r="H45" s="53">
        <v>284331.73</v>
      </c>
      <c r="I45" s="53">
        <v>198</v>
      </c>
      <c r="J45" s="53" t="s">
        <v>680</v>
      </c>
      <c r="K45" s="53"/>
      <c r="L45" s="53">
        <f t="shared" si="1"/>
        <v>-6.25</v>
      </c>
      <c r="M45" s="24" t="str">
        <f>IF(COUNTIF(Outflows!$E$7:$E$1000,J45)+COUNTIF(Inflows!$E$7:$E$1000,J45)&gt;0,"Matched","Unmatched")</f>
        <v>Matched</v>
      </c>
    </row>
    <row r="46" spans="1:13">
      <c r="A46" s="6" t="s">
        <v>642</v>
      </c>
      <c r="B46" s="42">
        <v>45169.999305555553</v>
      </c>
      <c r="C46" s="42">
        <v>45169.999305555553</v>
      </c>
      <c r="D46" s="6"/>
      <c r="E46" s="50" t="s">
        <v>563</v>
      </c>
      <c r="F46" s="53">
        <v>0</v>
      </c>
      <c r="G46" s="53">
        <v>31.25</v>
      </c>
      <c r="H46" s="53">
        <v>284337.98</v>
      </c>
      <c r="I46" s="53">
        <v>160</v>
      </c>
      <c r="J46" s="53" t="s">
        <v>681</v>
      </c>
      <c r="K46" s="53" t="s">
        <v>218</v>
      </c>
      <c r="L46" s="53">
        <f t="shared" si="1"/>
        <v>31.25</v>
      </c>
      <c r="M46" s="24" t="str">
        <f>IF(COUNTIF(Outflows!$E$7:$E$1000,J46)+COUNTIF(Inflows!$E$7:$E$1000,J46)&gt;0,"Matched","Unmatched")</f>
        <v>Unmatched</v>
      </c>
    </row>
    <row r="47" spans="1:13">
      <c r="A47" s="6" t="s">
        <v>642</v>
      </c>
      <c r="B47" s="42">
        <v>45189.999305555553</v>
      </c>
      <c r="C47" s="42">
        <v>45189.999305555553</v>
      </c>
      <c r="D47" s="6"/>
      <c r="E47" s="50" t="s">
        <v>576</v>
      </c>
      <c r="F47" s="53">
        <v>5</v>
      </c>
      <c r="G47" s="53">
        <v>0</v>
      </c>
      <c r="H47" s="53">
        <v>284326.73</v>
      </c>
      <c r="I47" s="53">
        <v>480</v>
      </c>
      <c r="J47" s="53" t="s">
        <v>682</v>
      </c>
      <c r="K47" s="53"/>
      <c r="L47" s="53">
        <f t="shared" si="1"/>
        <v>-5</v>
      </c>
      <c r="M47" s="24" t="str">
        <f>IF(COUNTIF(Outflows!$E$7:$E$1000,J47)+COUNTIF(Inflows!$E$7:$E$1000,J47)&gt;0,"Matched","Unmatched")</f>
        <v>Matched</v>
      </c>
    </row>
    <row r="48" spans="1:13">
      <c r="A48" s="6" t="s">
        <v>642</v>
      </c>
      <c r="B48" s="42">
        <v>45199.999305555553</v>
      </c>
      <c r="C48" s="42">
        <v>45199.999305555553</v>
      </c>
      <c r="D48" s="6"/>
      <c r="E48" s="50" t="s">
        <v>565</v>
      </c>
      <c r="F48" s="53">
        <v>5.78</v>
      </c>
      <c r="G48" s="53">
        <v>0</v>
      </c>
      <c r="H48" s="53">
        <v>284349.84000000003</v>
      </c>
      <c r="I48" s="53">
        <v>198</v>
      </c>
      <c r="J48" s="53" t="s">
        <v>683</v>
      </c>
      <c r="K48" s="53"/>
      <c r="L48" s="53">
        <f t="shared" si="1"/>
        <v>-5.78</v>
      </c>
      <c r="M48" s="24" t="str">
        <f>IF(COUNTIF(Outflows!$E$7:$E$1000,J48)+COUNTIF(Inflows!$E$7:$E$1000,J48)&gt;0,"Matched","Unmatched")</f>
        <v>Matched</v>
      </c>
    </row>
    <row r="49" spans="1:13">
      <c r="A49" s="6" t="s">
        <v>642</v>
      </c>
      <c r="B49" s="42">
        <v>45199.999305555553</v>
      </c>
      <c r="C49" s="42">
        <v>45199.999305555553</v>
      </c>
      <c r="D49" s="6"/>
      <c r="E49" s="50" t="s">
        <v>563</v>
      </c>
      <c r="F49" s="53">
        <v>0</v>
      </c>
      <c r="G49" s="53">
        <v>28.89</v>
      </c>
      <c r="H49" s="53">
        <v>284355.62</v>
      </c>
      <c r="I49" s="53">
        <v>160</v>
      </c>
      <c r="J49" s="53" t="s">
        <v>684</v>
      </c>
      <c r="K49" s="53" t="s">
        <v>218</v>
      </c>
      <c r="L49" s="53">
        <f t="shared" si="1"/>
        <v>28.89</v>
      </c>
      <c r="M49" s="24" t="str">
        <f>IF(COUNTIF(Outflows!$E$7:$E$1000,J49)+COUNTIF(Inflows!$E$7:$E$1000,J49)&gt;0,"Matched","Unmatched")</f>
        <v>Unmatched</v>
      </c>
    </row>
    <row r="50" spans="1:13">
      <c r="A50" s="6" t="s">
        <v>642</v>
      </c>
      <c r="B50" s="42">
        <v>45212.525000000001</v>
      </c>
      <c r="C50" s="42">
        <v>45212.525000000001</v>
      </c>
      <c r="D50" s="6"/>
      <c r="E50" s="50" t="s">
        <v>685</v>
      </c>
      <c r="F50" s="53">
        <v>10000</v>
      </c>
      <c r="G50" s="53">
        <v>0</v>
      </c>
      <c r="H50" s="53">
        <v>274349.84000000003</v>
      </c>
      <c r="I50" s="53">
        <v>565</v>
      </c>
      <c r="J50" s="53" t="s">
        <v>626</v>
      </c>
      <c r="K50" s="53"/>
      <c r="L50" s="53">
        <f t="shared" si="1"/>
        <v>-10000</v>
      </c>
      <c r="M50" s="24" t="str">
        <f>IF(COUNTIF(Outflows!$E$7:$E$1000,J50)+COUNTIF(Inflows!$E$7:$E$1000,J50)&gt;0,"Matched","Unmatched")</f>
        <v>Unmatched</v>
      </c>
    </row>
    <row r="51" spans="1:13">
      <c r="A51" s="6" t="s">
        <v>642</v>
      </c>
      <c r="B51" s="42">
        <v>45219.999305555553</v>
      </c>
      <c r="C51" s="42">
        <v>45219.999305555553</v>
      </c>
      <c r="D51" s="6"/>
      <c r="E51" s="50" t="s">
        <v>576</v>
      </c>
      <c r="F51" s="53">
        <v>5</v>
      </c>
      <c r="G51" s="53">
        <v>0</v>
      </c>
      <c r="H51" s="53">
        <v>274344.84000000003</v>
      </c>
      <c r="I51" s="53">
        <v>480</v>
      </c>
      <c r="J51" s="53" t="s">
        <v>686</v>
      </c>
      <c r="K51" s="53"/>
      <c r="L51" s="53">
        <f t="shared" si="1"/>
        <v>-5</v>
      </c>
      <c r="M51" s="24" t="str">
        <f>IF(COUNTIF(Outflows!$E$7:$E$1000,J51)+COUNTIF(Inflows!$E$7:$E$1000,J51)&gt;0,"Matched","Unmatched")</f>
        <v>Matched</v>
      </c>
    </row>
    <row r="52" spans="1:13" ht="24">
      <c r="A52" s="6" t="s">
        <v>642</v>
      </c>
      <c r="B52" s="42">
        <v>45229.523611099539</v>
      </c>
      <c r="C52" s="42">
        <v>45229.523611099539</v>
      </c>
      <c r="D52" s="6"/>
      <c r="E52" s="50" t="s">
        <v>687</v>
      </c>
      <c r="F52" s="53">
        <v>25.32</v>
      </c>
      <c r="G52" s="53">
        <v>0</v>
      </c>
      <c r="H52" s="53">
        <v>271158.98</v>
      </c>
      <c r="I52" s="53">
        <v>894</v>
      </c>
      <c r="J52" s="53" t="s">
        <v>688</v>
      </c>
      <c r="K52" s="53"/>
      <c r="L52" s="53">
        <f t="shared" si="1"/>
        <v>-25.32</v>
      </c>
      <c r="M52" s="24" t="str">
        <f>IF(COUNTIF(Outflows!$E$7:$E$1000,J52)+COUNTIF(Inflows!$E$7:$E$1000,J52)&gt;0,"Matched","Unmatched")</f>
        <v>Matched</v>
      </c>
    </row>
    <row r="53" spans="1:13" ht="24">
      <c r="A53" s="6" t="s">
        <v>642</v>
      </c>
      <c r="B53" s="42">
        <v>45229.523611099539</v>
      </c>
      <c r="C53" s="42">
        <v>45229.523611099539</v>
      </c>
      <c r="D53" s="6"/>
      <c r="E53" s="50" t="s">
        <v>687</v>
      </c>
      <c r="F53" s="53">
        <v>5</v>
      </c>
      <c r="G53" s="53">
        <v>0</v>
      </c>
      <c r="H53" s="53">
        <v>271184.3</v>
      </c>
      <c r="I53" s="53">
        <v>803</v>
      </c>
      <c r="J53" s="53" t="s">
        <v>688</v>
      </c>
      <c r="K53" s="53"/>
      <c r="L53" s="53">
        <f t="shared" si="1"/>
        <v>-5</v>
      </c>
      <c r="M53" s="24" t="str">
        <f>IF(COUNTIF(Outflows!$E$7:$E$1000,J53)+COUNTIF(Inflows!$E$7:$E$1000,J53)&gt;0,"Matched","Unmatched")</f>
        <v>Matched</v>
      </c>
    </row>
    <row r="54" spans="1:13" ht="24">
      <c r="A54" s="6" t="s">
        <v>642</v>
      </c>
      <c r="B54" s="42">
        <v>45229.523611099539</v>
      </c>
      <c r="C54" s="42">
        <v>45229.523611099539</v>
      </c>
      <c r="D54" s="6"/>
      <c r="E54" s="50" t="s">
        <v>687</v>
      </c>
      <c r="F54" s="53">
        <v>3155.54</v>
      </c>
      <c r="G54" s="53">
        <v>0</v>
      </c>
      <c r="H54" s="53">
        <v>271189.3</v>
      </c>
      <c r="I54" s="53" t="s">
        <v>689</v>
      </c>
      <c r="J54" s="53" t="s">
        <v>688</v>
      </c>
      <c r="K54" s="53"/>
      <c r="L54" s="53">
        <f t="shared" si="1"/>
        <v>-3155.54</v>
      </c>
      <c r="M54" s="24" t="str">
        <f>IF(COUNTIF(Outflows!$E$7:$E$1000,J54)+COUNTIF(Inflows!$E$7:$E$1000,J54)&gt;0,"Matched","Unmatched")</f>
        <v>Matched</v>
      </c>
    </row>
    <row r="55" spans="1:13">
      <c r="A55" s="6" t="s">
        <v>642</v>
      </c>
      <c r="B55" s="42">
        <v>45230.999305555553</v>
      </c>
      <c r="C55" s="42">
        <v>45230.999305555553</v>
      </c>
      <c r="D55" s="6"/>
      <c r="E55" s="50" t="s">
        <v>565</v>
      </c>
      <c r="F55" s="53">
        <v>5.81</v>
      </c>
      <c r="G55" s="53">
        <v>0</v>
      </c>
      <c r="H55" s="53">
        <v>271182.21999999997</v>
      </c>
      <c r="I55" s="53">
        <v>198</v>
      </c>
      <c r="J55" s="53" t="s">
        <v>690</v>
      </c>
      <c r="K55" s="53"/>
      <c r="L55" s="53">
        <f t="shared" si="1"/>
        <v>-5.81</v>
      </c>
      <c r="M55" s="24" t="str">
        <f>IF(COUNTIF(Outflows!$E$7:$E$1000,J55)+COUNTIF(Inflows!$E$7:$E$1000,J55)&gt;0,"Matched","Unmatched")</f>
        <v>Matched</v>
      </c>
    </row>
    <row r="56" spans="1:13">
      <c r="A56" s="6" t="s">
        <v>642</v>
      </c>
      <c r="B56" s="42">
        <v>45230.999305555553</v>
      </c>
      <c r="C56" s="42">
        <v>45230.999305555553</v>
      </c>
      <c r="D56" s="6"/>
      <c r="E56" s="50" t="s">
        <v>563</v>
      </c>
      <c r="F56" s="53">
        <v>0</v>
      </c>
      <c r="G56" s="53">
        <v>29.05</v>
      </c>
      <c r="H56" s="53">
        <v>271188.03000000003</v>
      </c>
      <c r="I56" s="53">
        <v>160</v>
      </c>
      <c r="J56" s="53" t="s">
        <v>691</v>
      </c>
      <c r="K56" s="53" t="s">
        <v>218</v>
      </c>
      <c r="L56" s="53">
        <f t="shared" si="1"/>
        <v>29.05</v>
      </c>
      <c r="M56" s="24" t="str">
        <f>IF(COUNTIF(Outflows!$E$7:$E$1000,J56)+COUNTIF(Inflows!$E$7:$E$1000,J56)&gt;0,"Matched","Unmatched")</f>
        <v>Unmatched</v>
      </c>
    </row>
    <row r="57" spans="1:13">
      <c r="A57" s="6" t="s">
        <v>642</v>
      </c>
      <c r="B57" s="42">
        <v>45244.727777777778</v>
      </c>
      <c r="C57" s="42">
        <v>45244.727777777778</v>
      </c>
      <c r="D57" s="6"/>
      <c r="E57" s="50" t="s">
        <v>650</v>
      </c>
      <c r="F57" s="53">
        <v>216169.95</v>
      </c>
      <c r="G57" s="53">
        <v>0</v>
      </c>
      <c r="H57" s="53">
        <v>55012.27</v>
      </c>
      <c r="I57" s="53">
        <v>565</v>
      </c>
      <c r="J57" s="53" t="s">
        <v>692</v>
      </c>
      <c r="K57" s="53"/>
      <c r="L57" s="53">
        <f t="shared" si="1"/>
        <v>-216169.95</v>
      </c>
      <c r="M57" s="24" t="str">
        <f>IF(COUNTIF(Outflows!$E$7:$E$1000,J57)+COUNTIF(Inflows!$E$7:$E$1000,J57)&gt;0,"Matched","Unmatched")</f>
        <v>Unmatched</v>
      </c>
    </row>
    <row r="58" spans="1:13">
      <c r="A58" s="6" t="s">
        <v>642</v>
      </c>
      <c r="B58" s="42">
        <v>45250.999305555553</v>
      </c>
      <c r="C58" s="42">
        <v>45250.999305555553</v>
      </c>
      <c r="D58" s="6"/>
      <c r="E58" s="50" t="s">
        <v>576</v>
      </c>
      <c r="F58" s="53">
        <v>5</v>
      </c>
      <c r="G58" s="53">
        <v>0</v>
      </c>
      <c r="H58" s="53">
        <v>55007.27</v>
      </c>
      <c r="I58" s="53">
        <v>480</v>
      </c>
      <c r="J58" s="53" t="s">
        <v>693</v>
      </c>
      <c r="K58" s="53"/>
      <c r="L58" s="53">
        <f t="shared" si="1"/>
        <v>-5</v>
      </c>
      <c r="M58" s="24" t="str">
        <f>IF(COUNTIF(Outflows!$E$7:$E$1000,J58)+COUNTIF(Inflows!$E$7:$E$1000,J58)&gt;0,"Matched","Unmatched")</f>
        <v>Matched</v>
      </c>
    </row>
    <row r="59" spans="1:13" ht="24">
      <c r="A59" s="6" t="s">
        <v>642</v>
      </c>
      <c r="B59" s="42">
        <v>45251.338888888888</v>
      </c>
      <c r="C59" s="42">
        <v>45251.338888888888</v>
      </c>
      <c r="D59" s="6"/>
      <c r="E59" s="50" t="s">
        <v>694</v>
      </c>
      <c r="F59" s="53">
        <v>0</v>
      </c>
      <c r="G59" s="53">
        <v>156000.5</v>
      </c>
      <c r="H59" s="53">
        <v>211007.77</v>
      </c>
      <c r="I59" s="53">
        <v>626</v>
      </c>
      <c r="J59" s="53" t="s">
        <v>695</v>
      </c>
      <c r="K59" s="53" t="s">
        <v>218</v>
      </c>
      <c r="L59" s="53">
        <f t="shared" si="1"/>
        <v>156000.5</v>
      </c>
      <c r="M59" s="24" t="str">
        <f>IF(COUNTIF(Outflows!$E$7:$E$1000,J59)+COUNTIF(Inflows!$E$7:$E$1000,J59)&gt;0,"Matched","Unmatched")</f>
        <v>Unmatched</v>
      </c>
    </row>
    <row r="60" spans="1:13" ht="24">
      <c r="A60" s="7" t="s">
        <v>642</v>
      </c>
      <c r="B60" s="43">
        <v>45252.477777777778</v>
      </c>
      <c r="C60" s="43">
        <v>45252.477777777778</v>
      </c>
      <c r="D60" s="7"/>
      <c r="E60" s="51" t="s">
        <v>696</v>
      </c>
      <c r="F60" s="10">
        <v>0</v>
      </c>
      <c r="G60" s="10">
        <v>154999.5</v>
      </c>
      <c r="H60" s="10">
        <v>366007.27</v>
      </c>
      <c r="I60" s="10">
        <v>626</v>
      </c>
      <c r="J60" s="10" t="s">
        <v>697</v>
      </c>
      <c r="K60" s="10" t="s">
        <v>218</v>
      </c>
      <c r="L60" s="10">
        <f t="shared" si="1"/>
        <v>154999.5</v>
      </c>
      <c r="M60" s="25" t="str">
        <f>IF(COUNTIF(Outflows!$E$7:$E$1000,J60)+COUNTIF(Inflows!$E$7:$E$1000,J60)&gt;0,"Matched","Unmatched")</f>
        <v>Unmatched</v>
      </c>
    </row>
  </sheetData>
  <mergeCells count="2">
    <mergeCell ref="A1:M1"/>
    <mergeCell ref="A2:M2"/>
  </mergeCells>
  <conditionalFormatting sqref="M8:M60">
    <cfRule type="containsText" dxfId="14" priority="1" operator="containsText" text="PASS"/>
    <cfRule type="containsText" dxfId="13" priority="2" operator="containsText" text="FAIL"/>
    <cfRule type="containsText" dxfId="12" priority="3" operator="containsText" text="WARNING"/>
  </conditionalFormatting>
  <hyperlinks>
    <hyperlink ref="J1" location="Cover!A1" tooltip="Back to Cover" display="← Back to Cover" xr:uid="{CD4703C2-4030-448E-A00F-605B0340DE90}"/>
    <hyperlink ref="N4" location="Cover!A1" tooltip="Back to Cover" display="← Back to Cover" xr:uid="{94FEDD52-CBAD-4300-9D01-81E5026F357A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/>
  <dimension ref="A1:Q163"/>
  <sheetViews>
    <sheetView showGridLines="0" workbookViewId="0">
      <selection activeCell="C4" sqref="C4"/>
    </sheetView>
  </sheetViews>
  <sheetFormatPr defaultRowHeight="13.5"/>
  <cols>
    <col min="1" max="2" width="13" customWidth="1"/>
    <col min="3" max="3" width="38" customWidth="1"/>
    <col min="4" max="4" width="18" customWidth="1"/>
    <col min="5" max="5" width="23" customWidth="1"/>
    <col min="6" max="6" width="34" customWidth="1"/>
    <col min="7" max="8" width="26" customWidth="1"/>
    <col min="9" max="9" width="17" customWidth="1"/>
    <col min="10" max="12" width="18" customWidth="1"/>
    <col min="13" max="15" width="16" customWidth="1"/>
    <col min="16" max="16" width="65" customWidth="1"/>
    <col min="17" max="17" width="12" customWidth="1"/>
  </cols>
  <sheetData>
    <row r="1" spans="1:17" ht="30" customHeight="1">
      <c r="A1" s="182" t="s">
        <v>698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71"/>
      <c r="O1" s="147"/>
      <c r="P1" s="147"/>
      <c r="Q1" s="147"/>
    </row>
    <row r="2" spans="1:17" ht="28.15" customHeight="1">
      <c r="A2" s="150" t="s">
        <v>699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</row>
    <row r="3" spans="1:17" s="118" customFormat="1" ht="13.9">
      <c r="A3" s="117" t="s">
        <v>700</v>
      </c>
    </row>
    <row r="4" spans="1:17" s="118" customFormat="1" ht="13.9">
      <c r="B4" s="119">
        <f>SUMIFS(L7:L163,B7:B163,"&lt;="&amp;Inputs!$B$11)</f>
        <v>788238.5498558291</v>
      </c>
      <c r="C4" s="119" t="s">
        <v>701</v>
      </c>
      <c r="D4" s="119">
        <f>SUMIFS(L7:L163,H7:H163,"Unmapped",B7:B163,"&lt;="&amp;Inputs!$B$11)</f>
        <v>0</v>
      </c>
      <c r="E4" s="120" t="s">
        <v>702</v>
      </c>
      <c r="F4" s="120">
        <f>COUNTIF(N7:N163,"Unmatched")</f>
        <v>0</v>
      </c>
      <c r="N4" s="127" t="s">
        <v>99</v>
      </c>
    </row>
    <row r="6" spans="1:17" ht="30" customHeight="1">
      <c r="A6" s="2" t="s">
        <v>703</v>
      </c>
      <c r="B6" s="3" t="s">
        <v>704</v>
      </c>
      <c r="C6" s="3" t="s">
        <v>705</v>
      </c>
      <c r="D6" s="3" t="s">
        <v>706</v>
      </c>
      <c r="E6" s="3" t="s">
        <v>556</v>
      </c>
      <c r="F6" s="3" t="s">
        <v>470</v>
      </c>
      <c r="G6" s="3" t="s">
        <v>374</v>
      </c>
      <c r="H6" s="3" t="s">
        <v>375</v>
      </c>
      <c r="I6" s="3" t="s">
        <v>707</v>
      </c>
      <c r="J6" s="3" t="s">
        <v>708</v>
      </c>
      <c r="K6" s="3" t="s">
        <v>709</v>
      </c>
      <c r="L6" s="3" t="s">
        <v>710</v>
      </c>
      <c r="M6" s="3" t="s">
        <v>711</v>
      </c>
      <c r="N6" s="3" t="s">
        <v>712</v>
      </c>
      <c r="O6" s="3" t="s">
        <v>713</v>
      </c>
      <c r="P6" s="3" t="s">
        <v>714</v>
      </c>
      <c r="Q6" s="4" t="s">
        <v>715</v>
      </c>
    </row>
    <row r="7" spans="1:17" ht="24">
      <c r="A7" s="5" t="s">
        <v>716</v>
      </c>
      <c r="B7" s="55">
        <v>44602</v>
      </c>
      <c r="C7" s="5" t="s">
        <v>717</v>
      </c>
      <c r="D7" s="5" t="s">
        <v>718</v>
      </c>
      <c r="E7" s="5" t="s">
        <v>719</v>
      </c>
      <c r="F7" s="5" t="s">
        <v>498</v>
      </c>
      <c r="G7" s="5" t="s">
        <v>385</v>
      </c>
      <c r="H7" s="23" t="str">
        <f>IFERROR(INDEX(Inputs!$K$6:$K$24,MATCH(G7,Inputs!$J$6:$J$24,0)),"Unmapped")</f>
        <v>Architect Cost</v>
      </c>
      <c r="I7" s="20" t="s">
        <v>720</v>
      </c>
      <c r="J7" s="44">
        <v>107625000</v>
      </c>
      <c r="K7" s="57">
        <f>IFERROR(INDEX(Inputs!$H$6:$H$53,MATCH(M7,Inputs!$F$6:$F$53,0)),Inputs!$B$6)</f>
        <v>14371</v>
      </c>
      <c r="L7" s="33">
        <f t="shared" ref="L7:L38" si="0">J7/K7</f>
        <v>7489.040428641013</v>
      </c>
      <c r="M7" s="60">
        <f t="shared" ref="M7:M38" si="1">DATE(YEAR(B7),MONTH(B7),1)</f>
        <v>44593</v>
      </c>
      <c r="N7" s="23" t="str">
        <f>IF(D7&lt;&gt;"Cash Movements","Manual",IF(COUNTIF(Bank_IDR!$J$8:$J$71,E7)+COUNTIF(Bank_USD!$J$8:$J$60,E7)&gt;0,"Matched","Unmatched"))</f>
        <v>Manual</v>
      </c>
      <c r="O7" s="5" t="s">
        <v>721</v>
      </c>
      <c r="P7" s="49" t="s">
        <v>722</v>
      </c>
      <c r="Q7" s="5">
        <v>2</v>
      </c>
    </row>
    <row r="8" spans="1:17" ht="24">
      <c r="A8" s="6" t="s">
        <v>723</v>
      </c>
      <c r="B8" s="9">
        <v>44679</v>
      </c>
      <c r="C8" s="6" t="s">
        <v>717</v>
      </c>
      <c r="D8" s="6" t="s">
        <v>718</v>
      </c>
      <c r="E8" s="6" t="s">
        <v>724</v>
      </c>
      <c r="F8" s="6" t="s">
        <v>498</v>
      </c>
      <c r="G8" s="6" t="s">
        <v>385</v>
      </c>
      <c r="H8" s="24" t="str">
        <f>IFERROR(INDEX(Inputs!$K$6:$K$24,MATCH(G8,Inputs!$J$6:$J$24,0)),"Unmapped")</f>
        <v>Architect Cost</v>
      </c>
      <c r="I8" s="21" t="s">
        <v>720</v>
      </c>
      <c r="J8" s="45">
        <v>36000000</v>
      </c>
      <c r="K8" s="58">
        <f>IFERROR(INDEX(Inputs!$H$6:$H$53,MATCH(M8,Inputs!$F$6:$F$53,0)),Inputs!$B$6)</f>
        <v>14418</v>
      </c>
      <c r="L8" s="35">
        <f t="shared" si="0"/>
        <v>2496.8789013732835</v>
      </c>
      <c r="M8" s="61">
        <f t="shared" si="1"/>
        <v>44652</v>
      </c>
      <c r="N8" s="24" t="str">
        <f>IF(D8&lt;&gt;"Cash Movements","Manual",IF(COUNTIF(Bank_IDR!$J$8:$J$71,E8)+COUNTIF(Bank_USD!$J$8:$J$60,E8)&gt;0,"Matched","Unmatched"))</f>
        <v>Manual</v>
      </c>
      <c r="O8" s="6" t="s">
        <v>721</v>
      </c>
      <c r="P8" s="50" t="s">
        <v>725</v>
      </c>
      <c r="Q8" s="6">
        <v>3</v>
      </c>
    </row>
    <row r="9" spans="1:17" ht="24">
      <c r="A9" s="6" t="s">
        <v>726</v>
      </c>
      <c r="B9" s="9">
        <v>44701</v>
      </c>
      <c r="C9" s="6" t="s">
        <v>717</v>
      </c>
      <c r="D9" s="6" t="s">
        <v>718</v>
      </c>
      <c r="E9" s="6" t="s">
        <v>727</v>
      </c>
      <c r="F9" s="6" t="s">
        <v>498</v>
      </c>
      <c r="G9" s="6" t="s">
        <v>385</v>
      </c>
      <c r="H9" s="24" t="str">
        <f>IFERROR(INDEX(Inputs!$K$6:$K$24,MATCH(G9,Inputs!$J$6:$J$24,0)),"Unmapped")</f>
        <v>Architect Cost</v>
      </c>
      <c r="I9" s="21" t="s">
        <v>720</v>
      </c>
      <c r="J9" s="45">
        <v>109875000</v>
      </c>
      <c r="K9" s="58">
        <f>IFERROR(INDEX(Inputs!$H$6:$H$53,MATCH(M9,Inputs!$F$6:$F$53,0)),Inputs!$B$6)</f>
        <v>14544</v>
      </c>
      <c r="L9" s="35">
        <f t="shared" si="0"/>
        <v>7554.6617161716167</v>
      </c>
      <c r="M9" s="61">
        <f t="shared" si="1"/>
        <v>44682</v>
      </c>
      <c r="N9" s="24" t="str">
        <f>IF(D9&lt;&gt;"Cash Movements","Manual",IF(COUNTIF(Bank_IDR!$J$8:$J$71,E9)+COUNTIF(Bank_USD!$J$8:$J$60,E9)&gt;0,"Matched","Unmatched"))</f>
        <v>Manual</v>
      </c>
      <c r="O9" s="6" t="s">
        <v>721</v>
      </c>
      <c r="P9" s="50" t="s">
        <v>728</v>
      </c>
      <c r="Q9" s="6">
        <v>4</v>
      </c>
    </row>
    <row r="10" spans="1:17" ht="24">
      <c r="A10" s="6" t="s">
        <v>729</v>
      </c>
      <c r="B10" s="9">
        <v>44714</v>
      </c>
      <c r="C10" s="6" t="s">
        <v>717</v>
      </c>
      <c r="D10" s="6" t="s">
        <v>718</v>
      </c>
      <c r="E10" s="6" t="s">
        <v>730</v>
      </c>
      <c r="F10" s="6" t="s">
        <v>498</v>
      </c>
      <c r="G10" s="6" t="s">
        <v>385</v>
      </c>
      <c r="H10" s="24" t="str">
        <f>IFERROR(INDEX(Inputs!$K$6:$K$24,MATCH(G10,Inputs!$J$6:$J$24,0)),"Unmapped")</f>
        <v>Architect Cost</v>
      </c>
      <c r="I10" s="21" t="s">
        <v>720</v>
      </c>
      <c r="J10" s="45">
        <v>7275000</v>
      </c>
      <c r="K10" s="58">
        <f>IFERROR(INDEX(Inputs!$H$6:$H$53,MATCH(M10,Inputs!$F$6:$F$53,0)),Inputs!$B$6)</f>
        <v>14848</v>
      </c>
      <c r="L10" s="35">
        <f t="shared" si="0"/>
        <v>489.96497844827587</v>
      </c>
      <c r="M10" s="61">
        <f t="shared" si="1"/>
        <v>44713</v>
      </c>
      <c r="N10" s="24" t="str">
        <f>IF(D10&lt;&gt;"Cash Movements","Manual",IF(COUNTIF(Bank_IDR!$J$8:$J$71,E10)+COUNTIF(Bank_USD!$J$8:$J$60,E10)&gt;0,"Matched","Unmatched"))</f>
        <v>Manual</v>
      </c>
      <c r="O10" s="6" t="s">
        <v>721</v>
      </c>
      <c r="P10" s="50" t="s">
        <v>731</v>
      </c>
      <c r="Q10" s="6">
        <v>5</v>
      </c>
    </row>
    <row r="11" spans="1:17" ht="24">
      <c r="A11" s="6" t="s">
        <v>732</v>
      </c>
      <c r="B11" s="9">
        <v>44740</v>
      </c>
      <c r="C11" s="6" t="s">
        <v>717</v>
      </c>
      <c r="D11" s="6" t="s">
        <v>718</v>
      </c>
      <c r="E11" s="6" t="s">
        <v>733</v>
      </c>
      <c r="F11" s="6" t="s">
        <v>498</v>
      </c>
      <c r="G11" s="6" t="s">
        <v>385</v>
      </c>
      <c r="H11" s="24" t="str">
        <f>IFERROR(INDEX(Inputs!$K$6:$K$24,MATCH(G11,Inputs!$J$6:$J$24,0)),"Unmapped")</f>
        <v>Architect Cost</v>
      </c>
      <c r="I11" s="21" t="s">
        <v>720</v>
      </c>
      <c r="J11" s="45">
        <v>461839500</v>
      </c>
      <c r="K11" s="58">
        <f>IFERROR(INDEX(Inputs!$H$6:$H$53,MATCH(M11,Inputs!$F$6:$F$53,0)),Inputs!$B$6)</f>
        <v>14848</v>
      </c>
      <c r="L11" s="35">
        <f t="shared" si="0"/>
        <v>31104.4921875</v>
      </c>
      <c r="M11" s="61">
        <f t="shared" si="1"/>
        <v>44713</v>
      </c>
      <c r="N11" s="24" t="str">
        <f>IF(D11&lt;&gt;"Cash Movements","Manual",IF(COUNTIF(Bank_IDR!$J$8:$J$71,E11)+COUNTIF(Bank_USD!$J$8:$J$60,E11)&gt;0,"Matched","Unmatched"))</f>
        <v>Manual</v>
      </c>
      <c r="O11" s="6" t="s">
        <v>721</v>
      </c>
      <c r="P11" s="50" t="s">
        <v>734</v>
      </c>
      <c r="Q11" s="6">
        <v>6</v>
      </c>
    </row>
    <row r="12" spans="1:17">
      <c r="A12" s="6" t="s">
        <v>735</v>
      </c>
      <c r="B12" s="9">
        <v>44756</v>
      </c>
      <c r="C12" s="6" t="s">
        <v>717</v>
      </c>
      <c r="D12" s="6" t="s">
        <v>718</v>
      </c>
      <c r="E12" s="6" t="s">
        <v>736</v>
      </c>
      <c r="F12" s="6" t="s">
        <v>500</v>
      </c>
      <c r="G12" s="6" t="s">
        <v>414</v>
      </c>
      <c r="H12" s="24" t="str">
        <f>IFERROR(INDEX(Inputs!$K$6:$K$24,MATCH(G12,Inputs!$J$6:$J$24,0)),"Unmapped")</f>
        <v>Project Management</v>
      </c>
      <c r="I12" s="21" t="s">
        <v>720</v>
      </c>
      <c r="J12" s="45">
        <v>74000</v>
      </c>
      <c r="K12" s="58">
        <f>IFERROR(INDEX(Inputs!$H$6:$H$53,MATCH(M12,Inputs!$F$6:$F$53,0)),Inputs!$B$6)</f>
        <v>14958</v>
      </c>
      <c r="L12" s="35">
        <f t="shared" si="0"/>
        <v>4.9471854526006149</v>
      </c>
      <c r="M12" s="61">
        <f t="shared" si="1"/>
        <v>44743</v>
      </c>
      <c r="N12" s="24" t="str">
        <f>IF(D12&lt;&gt;"Cash Movements","Manual",IF(COUNTIF(Bank_IDR!$J$8:$J$71,E12)+COUNTIF(Bank_USD!$J$8:$J$60,E12)&gt;0,"Matched","Unmatched"))</f>
        <v>Manual</v>
      </c>
      <c r="O12" s="6" t="s">
        <v>721</v>
      </c>
      <c r="P12" s="50" t="s">
        <v>737</v>
      </c>
      <c r="Q12" s="6">
        <v>7</v>
      </c>
    </row>
    <row r="13" spans="1:17">
      <c r="A13" s="6" t="s">
        <v>738</v>
      </c>
      <c r="B13" s="9">
        <v>44807</v>
      </c>
      <c r="C13" s="6" t="s">
        <v>717</v>
      </c>
      <c r="D13" s="6" t="s">
        <v>718</v>
      </c>
      <c r="E13" s="6" t="s">
        <v>739</v>
      </c>
      <c r="F13" s="6" t="s">
        <v>488</v>
      </c>
      <c r="G13" s="6" t="s">
        <v>319</v>
      </c>
      <c r="H13" s="24" t="str">
        <f>IFERROR(INDEX(Inputs!$K$6:$K$24,MATCH(G13,Inputs!$J$6:$J$24,0)),"Unmapped")</f>
        <v>Tax &amp; legal advice</v>
      </c>
      <c r="I13" s="21" t="s">
        <v>720</v>
      </c>
      <c r="J13" s="45">
        <v>9000000</v>
      </c>
      <c r="K13" s="58">
        <f>IFERROR(INDEX(Inputs!$H$6:$H$53,MATCH(M13,Inputs!$F$6:$F$53,0)),Inputs!$B$6)</f>
        <v>15247</v>
      </c>
      <c r="L13" s="35">
        <f t="shared" si="0"/>
        <v>590.28005509280513</v>
      </c>
      <c r="M13" s="61">
        <f t="shared" si="1"/>
        <v>44805</v>
      </c>
      <c r="N13" s="24" t="str">
        <f>IF(D13&lt;&gt;"Cash Movements","Manual",IF(COUNTIF(Bank_IDR!$J$8:$J$71,E13)+COUNTIF(Bank_USD!$J$8:$J$60,E13)&gt;0,"Matched","Unmatched"))</f>
        <v>Manual</v>
      </c>
      <c r="O13" s="6" t="s">
        <v>721</v>
      </c>
      <c r="P13" s="50" t="s">
        <v>740</v>
      </c>
      <c r="Q13" s="6">
        <v>8</v>
      </c>
    </row>
    <row r="14" spans="1:17">
      <c r="A14" s="6" t="s">
        <v>741</v>
      </c>
      <c r="B14" s="9">
        <v>44807</v>
      </c>
      <c r="C14" s="6" t="s">
        <v>717</v>
      </c>
      <c r="D14" s="6" t="s">
        <v>718</v>
      </c>
      <c r="E14" s="6" t="s">
        <v>739</v>
      </c>
      <c r="F14" s="6" t="s">
        <v>488</v>
      </c>
      <c r="G14" s="6" t="s">
        <v>319</v>
      </c>
      <c r="H14" s="24" t="str">
        <f>IFERROR(INDEX(Inputs!$K$6:$K$24,MATCH(G14,Inputs!$J$6:$J$24,0)),"Unmapped")</f>
        <v>Tax &amp; legal advice</v>
      </c>
      <c r="I14" s="21" t="s">
        <v>720</v>
      </c>
      <c r="J14" s="45">
        <v>14854000</v>
      </c>
      <c r="K14" s="58">
        <f>IFERROR(INDEX(Inputs!$H$6:$H$53,MATCH(M14,Inputs!$F$6:$F$53,0)),Inputs!$B$6)</f>
        <v>15247</v>
      </c>
      <c r="L14" s="35">
        <f t="shared" si="0"/>
        <v>974.22443759428086</v>
      </c>
      <c r="M14" s="61">
        <f t="shared" si="1"/>
        <v>44805</v>
      </c>
      <c r="N14" s="24" t="str">
        <f>IF(D14&lt;&gt;"Cash Movements","Manual",IF(COUNTIF(Bank_IDR!$J$8:$J$71,E14)+COUNTIF(Bank_USD!$J$8:$J$60,E14)&gt;0,"Matched","Unmatched"))</f>
        <v>Manual</v>
      </c>
      <c r="O14" s="6" t="s">
        <v>721</v>
      </c>
      <c r="P14" s="50" t="s">
        <v>742</v>
      </c>
      <c r="Q14" s="6">
        <v>9</v>
      </c>
    </row>
    <row r="15" spans="1:17">
      <c r="A15" s="6" t="s">
        <v>743</v>
      </c>
      <c r="B15" s="9">
        <v>44863</v>
      </c>
      <c r="C15" s="6" t="s">
        <v>717</v>
      </c>
      <c r="D15" s="6" t="s">
        <v>718</v>
      </c>
      <c r="E15" s="6" t="s">
        <v>744</v>
      </c>
      <c r="F15" s="6" t="s">
        <v>498</v>
      </c>
      <c r="G15" s="6" t="s">
        <v>301</v>
      </c>
      <c r="H15" s="24" t="str">
        <f>IFERROR(INDEX(Inputs!$K$6:$K$24,MATCH(G15,Inputs!$J$6:$J$24,0)),"Unmapped")</f>
        <v>Architect Cost</v>
      </c>
      <c r="I15" s="21" t="s">
        <v>720</v>
      </c>
      <c r="J15" s="45">
        <v>85388450</v>
      </c>
      <c r="K15" s="58">
        <f>IFERROR(INDEX(Inputs!$H$6:$H$53,MATCH(M15,Inputs!$F$6:$F$53,0)),Inputs!$B$6)</f>
        <v>15542</v>
      </c>
      <c r="L15" s="35">
        <f t="shared" si="0"/>
        <v>5494.0451679320549</v>
      </c>
      <c r="M15" s="61">
        <f t="shared" si="1"/>
        <v>44835</v>
      </c>
      <c r="N15" s="24" t="str">
        <f>IF(D15&lt;&gt;"Cash Movements","Manual",IF(COUNTIF(Bank_IDR!$J$8:$J$71,E15)+COUNTIF(Bank_USD!$J$8:$J$60,E15)&gt;0,"Matched","Unmatched"))</f>
        <v>Manual</v>
      </c>
      <c r="O15" s="6" t="s">
        <v>721</v>
      </c>
      <c r="P15" s="50" t="s">
        <v>745</v>
      </c>
      <c r="Q15" s="6">
        <v>10</v>
      </c>
    </row>
    <row r="16" spans="1:17">
      <c r="A16" s="6" t="s">
        <v>746</v>
      </c>
      <c r="B16" s="9">
        <v>44865</v>
      </c>
      <c r="C16" s="6" t="s">
        <v>717</v>
      </c>
      <c r="D16" s="6" t="s">
        <v>718</v>
      </c>
      <c r="E16" s="6" t="s">
        <v>747</v>
      </c>
      <c r="F16" s="6" t="s">
        <v>492</v>
      </c>
      <c r="G16" s="6" t="s">
        <v>319</v>
      </c>
      <c r="H16" s="24" t="str">
        <f>IFERROR(INDEX(Inputs!$K$6:$K$24,MATCH(G16,Inputs!$J$6:$J$24,0)),"Unmapped")</f>
        <v>Tax &amp; legal advice</v>
      </c>
      <c r="I16" s="21" t="s">
        <v>720</v>
      </c>
      <c r="J16" s="45">
        <v>15000000</v>
      </c>
      <c r="K16" s="58">
        <f>IFERROR(INDEX(Inputs!$H$6:$H$53,MATCH(M16,Inputs!$F$6:$F$53,0)),Inputs!$B$6)</f>
        <v>15542</v>
      </c>
      <c r="L16" s="35">
        <f t="shared" si="0"/>
        <v>965.12675331360185</v>
      </c>
      <c r="M16" s="61">
        <f t="shared" si="1"/>
        <v>44835</v>
      </c>
      <c r="N16" s="24" t="str">
        <f>IF(D16&lt;&gt;"Cash Movements","Manual",IF(COUNTIF(Bank_IDR!$J$8:$J$71,E16)+COUNTIF(Bank_USD!$J$8:$J$60,E16)&gt;0,"Matched","Unmatched"))</f>
        <v>Manual</v>
      </c>
      <c r="O16" s="6" t="s">
        <v>721</v>
      </c>
      <c r="P16" s="50" t="s">
        <v>748</v>
      </c>
      <c r="Q16" s="6">
        <v>11</v>
      </c>
    </row>
    <row r="17" spans="1:17">
      <c r="A17" s="6" t="s">
        <v>749</v>
      </c>
      <c r="B17" s="9">
        <v>44872</v>
      </c>
      <c r="C17" s="6" t="s">
        <v>717</v>
      </c>
      <c r="D17" s="6" t="s">
        <v>718</v>
      </c>
      <c r="E17" s="6" t="s">
        <v>750</v>
      </c>
      <c r="F17" s="6" t="s">
        <v>498</v>
      </c>
      <c r="G17" s="6" t="s">
        <v>301</v>
      </c>
      <c r="H17" s="24" t="str">
        <f>IFERROR(INDEX(Inputs!$K$6:$K$24,MATCH(G17,Inputs!$J$6:$J$24,0)),"Unmapped")</f>
        <v>Architect Cost</v>
      </c>
      <c r="I17" s="21" t="s">
        <v>720</v>
      </c>
      <c r="J17" s="45">
        <v>41613428.25</v>
      </c>
      <c r="K17" s="58">
        <f>IFERROR(INDEX(Inputs!$H$6:$H$53,MATCH(M17,Inputs!$F$6:$F$53,0)),Inputs!$B$6)</f>
        <v>15737</v>
      </c>
      <c r="L17" s="35">
        <f t="shared" si="0"/>
        <v>2644.3050295481985</v>
      </c>
      <c r="M17" s="61">
        <f t="shared" si="1"/>
        <v>44866</v>
      </c>
      <c r="N17" s="24" t="str">
        <f>IF(D17&lt;&gt;"Cash Movements","Manual",IF(COUNTIF(Bank_IDR!$J$8:$J$71,E17)+COUNTIF(Bank_USD!$J$8:$J$60,E17)&gt;0,"Matched","Unmatched"))</f>
        <v>Manual</v>
      </c>
      <c r="O17" s="6" t="s">
        <v>721</v>
      </c>
      <c r="P17" s="50" t="s">
        <v>751</v>
      </c>
      <c r="Q17" s="6">
        <v>12</v>
      </c>
    </row>
    <row r="18" spans="1:17">
      <c r="A18" s="6" t="s">
        <v>752</v>
      </c>
      <c r="B18" s="9">
        <v>44872</v>
      </c>
      <c r="C18" s="6" t="s">
        <v>717</v>
      </c>
      <c r="D18" s="6" t="s">
        <v>718</v>
      </c>
      <c r="E18" s="6" t="s">
        <v>750</v>
      </c>
      <c r="F18" s="6" t="s">
        <v>498</v>
      </c>
      <c r="G18" s="6" t="s">
        <v>301</v>
      </c>
      <c r="H18" s="24" t="str">
        <f>IFERROR(INDEX(Inputs!$K$6:$K$24,MATCH(G18,Inputs!$J$6:$J$24,0)),"Unmapped")</f>
        <v>Architect Cost</v>
      </c>
      <c r="I18" s="21" t="s">
        <v>720</v>
      </c>
      <c r="J18" s="45">
        <v>20806714.125</v>
      </c>
      <c r="K18" s="58">
        <f>IFERROR(INDEX(Inputs!$H$6:$H$53,MATCH(M18,Inputs!$F$6:$F$53,0)),Inputs!$B$6)</f>
        <v>15737</v>
      </c>
      <c r="L18" s="35">
        <f t="shared" si="0"/>
        <v>1322.1525147740992</v>
      </c>
      <c r="M18" s="61">
        <f t="shared" si="1"/>
        <v>44866</v>
      </c>
      <c r="N18" s="24" t="str">
        <f>IF(D18&lt;&gt;"Cash Movements","Manual",IF(COUNTIF(Bank_IDR!$J$8:$J$71,E18)+COUNTIF(Bank_USD!$J$8:$J$60,E18)&gt;0,"Matched","Unmatched"))</f>
        <v>Manual</v>
      </c>
      <c r="O18" s="6" t="s">
        <v>721</v>
      </c>
      <c r="P18" s="50" t="s">
        <v>753</v>
      </c>
      <c r="Q18" s="6">
        <v>13</v>
      </c>
    </row>
    <row r="19" spans="1:17">
      <c r="A19" s="6" t="s">
        <v>754</v>
      </c>
      <c r="B19" s="9">
        <v>44872</v>
      </c>
      <c r="C19" s="6" t="s">
        <v>717</v>
      </c>
      <c r="D19" s="6" t="s">
        <v>718</v>
      </c>
      <c r="E19" s="6" t="s">
        <v>750</v>
      </c>
      <c r="F19" s="6" t="s">
        <v>498</v>
      </c>
      <c r="G19" s="6" t="s">
        <v>301</v>
      </c>
      <c r="H19" s="24" t="str">
        <f>IFERROR(INDEX(Inputs!$K$6:$K$24,MATCH(G19,Inputs!$J$6:$J$24,0)),"Unmapped")</f>
        <v>Architect Cost</v>
      </c>
      <c r="I19" s="21" t="s">
        <v>720</v>
      </c>
      <c r="J19" s="45">
        <v>29887665.75</v>
      </c>
      <c r="K19" s="58">
        <f>IFERROR(INDEX(Inputs!$H$6:$H$53,MATCH(M19,Inputs!$F$6:$F$53,0)),Inputs!$B$6)</f>
        <v>15737</v>
      </c>
      <c r="L19" s="35">
        <f t="shared" si="0"/>
        <v>1899.1971627374976</v>
      </c>
      <c r="M19" s="61">
        <f t="shared" si="1"/>
        <v>44866</v>
      </c>
      <c r="N19" s="24" t="str">
        <f>IF(D19&lt;&gt;"Cash Movements","Manual",IF(COUNTIF(Bank_IDR!$J$8:$J$71,E19)+COUNTIF(Bank_USD!$J$8:$J$60,E19)&gt;0,"Matched","Unmatched"))</f>
        <v>Manual</v>
      </c>
      <c r="O19" s="6" t="s">
        <v>721</v>
      </c>
      <c r="P19" s="50" t="s">
        <v>755</v>
      </c>
      <c r="Q19" s="6">
        <v>14</v>
      </c>
    </row>
    <row r="20" spans="1:17">
      <c r="A20" s="6" t="s">
        <v>756</v>
      </c>
      <c r="B20" s="9">
        <v>44872</v>
      </c>
      <c r="C20" s="6" t="s">
        <v>717</v>
      </c>
      <c r="D20" s="6" t="s">
        <v>718</v>
      </c>
      <c r="E20" s="6" t="s">
        <v>750</v>
      </c>
      <c r="F20" s="6" t="s">
        <v>498</v>
      </c>
      <c r="G20" s="6" t="s">
        <v>301</v>
      </c>
      <c r="H20" s="24" t="str">
        <f>IFERROR(INDEX(Inputs!$K$6:$K$24,MATCH(G20,Inputs!$J$6:$J$24,0)),"Unmapped")</f>
        <v>Architect Cost</v>
      </c>
      <c r="I20" s="21" t="s">
        <v>720</v>
      </c>
      <c r="J20" s="45">
        <v>49395891.869999997</v>
      </c>
      <c r="K20" s="58">
        <f>IFERROR(INDEX(Inputs!$H$6:$H$53,MATCH(M20,Inputs!$F$6:$F$53,0)),Inputs!$B$6)</f>
        <v>15737</v>
      </c>
      <c r="L20" s="35">
        <f t="shared" si="0"/>
        <v>3138.8378896867252</v>
      </c>
      <c r="M20" s="61">
        <f t="shared" si="1"/>
        <v>44866</v>
      </c>
      <c r="N20" s="24" t="str">
        <f>IF(D20&lt;&gt;"Cash Movements","Manual",IF(COUNTIF(Bank_IDR!$J$8:$J$71,E20)+COUNTIF(Bank_USD!$J$8:$J$60,E20)&gt;0,"Matched","Unmatched"))</f>
        <v>Manual</v>
      </c>
      <c r="O20" s="6" t="s">
        <v>721</v>
      </c>
      <c r="P20" s="50" t="s">
        <v>757</v>
      </c>
      <c r="Q20" s="6">
        <v>15</v>
      </c>
    </row>
    <row r="21" spans="1:17">
      <c r="A21" s="6" t="s">
        <v>758</v>
      </c>
      <c r="B21" s="9">
        <v>44872</v>
      </c>
      <c r="C21" s="6" t="s">
        <v>717</v>
      </c>
      <c r="D21" s="6" t="s">
        <v>718</v>
      </c>
      <c r="E21" s="6" t="s">
        <v>750</v>
      </c>
      <c r="F21" s="6" t="s">
        <v>473</v>
      </c>
      <c r="G21" s="6" t="s">
        <v>310</v>
      </c>
      <c r="H21" s="24" t="str">
        <f>IFERROR(INDEX(Inputs!$K$6:$K$24,MATCH(G21,Inputs!$J$6:$J$24,0)),"Unmapped")</f>
        <v>Structure Engineer</v>
      </c>
      <c r="I21" s="21" t="s">
        <v>720</v>
      </c>
      <c r="J21" s="45">
        <v>22200000</v>
      </c>
      <c r="K21" s="58">
        <f>IFERROR(INDEX(Inputs!$H$6:$H$53,MATCH(M21,Inputs!$F$6:$F$53,0)),Inputs!$B$6)</f>
        <v>15737</v>
      </c>
      <c r="L21" s="35">
        <f t="shared" si="0"/>
        <v>1410.688187075046</v>
      </c>
      <c r="M21" s="61">
        <f t="shared" si="1"/>
        <v>44866</v>
      </c>
      <c r="N21" s="24" t="str">
        <f>IF(D21&lt;&gt;"Cash Movements","Manual",IF(COUNTIF(Bank_IDR!$J$8:$J$71,E21)+COUNTIF(Bank_USD!$J$8:$J$60,E21)&gt;0,"Matched","Unmatched"))</f>
        <v>Manual</v>
      </c>
      <c r="O21" s="6" t="s">
        <v>721</v>
      </c>
      <c r="P21" s="50" t="s">
        <v>759</v>
      </c>
      <c r="Q21" s="6">
        <v>16</v>
      </c>
    </row>
    <row r="22" spans="1:17">
      <c r="A22" s="6" t="s">
        <v>760</v>
      </c>
      <c r="B22" s="9">
        <v>44895</v>
      </c>
      <c r="C22" s="6" t="s">
        <v>717</v>
      </c>
      <c r="D22" s="6" t="s">
        <v>718</v>
      </c>
      <c r="E22" s="6" t="s">
        <v>761</v>
      </c>
      <c r="F22" s="6" t="s">
        <v>422</v>
      </c>
      <c r="G22" s="6" t="s">
        <v>422</v>
      </c>
      <c r="H22" s="24" t="str">
        <f>IFERROR(INDEX(Inputs!$K$6:$K$24,MATCH(G22,Inputs!$J$6:$J$24,0)),"Unmapped")</f>
        <v>Sitegrid / Other QS</v>
      </c>
      <c r="I22" s="21" t="s">
        <v>720</v>
      </c>
      <c r="J22" s="45">
        <v>24000000</v>
      </c>
      <c r="K22" s="58">
        <f>IFERROR(INDEX(Inputs!$H$6:$H$53,MATCH(M22,Inputs!$F$6:$F$53,0)),Inputs!$B$6)</f>
        <v>15737</v>
      </c>
      <c r="L22" s="35">
        <f t="shared" si="0"/>
        <v>1525.0683103514011</v>
      </c>
      <c r="M22" s="61">
        <f t="shared" si="1"/>
        <v>44866</v>
      </c>
      <c r="N22" s="24" t="str">
        <f>IF(D22&lt;&gt;"Cash Movements","Manual",IF(COUNTIF(Bank_IDR!$J$8:$J$71,E22)+COUNTIF(Bank_USD!$J$8:$J$60,E22)&gt;0,"Matched","Unmatched"))</f>
        <v>Manual</v>
      </c>
      <c r="O22" s="6" t="s">
        <v>721</v>
      </c>
      <c r="P22" s="50" t="s">
        <v>762</v>
      </c>
      <c r="Q22" s="6">
        <v>17</v>
      </c>
    </row>
    <row r="23" spans="1:17">
      <c r="A23" s="6" t="s">
        <v>763</v>
      </c>
      <c r="B23" s="9">
        <v>44895</v>
      </c>
      <c r="C23" s="6" t="s">
        <v>717</v>
      </c>
      <c r="D23" s="6" t="s">
        <v>718</v>
      </c>
      <c r="E23" s="6" t="s">
        <v>761</v>
      </c>
      <c r="F23" s="6" t="s">
        <v>422</v>
      </c>
      <c r="G23" s="6" t="s">
        <v>422</v>
      </c>
      <c r="H23" s="24" t="str">
        <f>IFERROR(INDEX(Inputs!$K$6:$K$24,MATCH(G23,Inputs!$J$6:$J$24,0)),"Unmapped")</f>
        <v>Sitegrid / Other QS</v>
      </c>
      <c r="I23" s="21" t="s">
        <v>720</v>
      </c>
      <c r="J23" s="45">
        <v>18610000</v>
      </c>
      <c r="K23" s="58">
        <f>IFERROR(INDEX(Inputs!$H$6:$H$53,MATCH(M23,Inputs!$F$6:$F$53,0)),Inputs!$B$6)</f>
        <v>15737</v>
      </c>
      <c r="L23" s="35">
        <f t="shared" si="0"/>
        <v>1182.563385651649</v>
      </c>
      <c r="M23" s="61">
        <f t="shared" si="1"/>
        <v>44866</v>
      </c>
      <c r="N23" s="24" t="str">
        <f>IF(D23&lt;&gt;"Cash Movements","Manual",IF(COUNTIF(Bank_IDR!$J$8:$J$71,E23)+COUNTIF(Bank_USD!$J$8:$J$60,E23)&gt;0,"Matched","Unmatched"))</f>
        <v>Manual</v>
      </c>
      <c r="O23" s="6" t="s">
        <v>721</v>
      </c>
      <c r="P23" s="50" t="s">
        <v>764</v>
      </c>
      <c r="Q23" s="6">
        <v>18</v>
      </c>
    </row>
    <row r="24" spans="1:17">
      <c r="A24" s="6" t="s">
        <v>765</v>
      </c>
      <c r="B24" s="9">
        <v>44895</v>
      </c>
      <c r="C24" s="6" t="s">
        <v>717</v>
      </c>
      <c r="D24" s="6" t="s">
        <v>718</v>
      </c>
      <c r="E24" s="6" t="s">
        <v>761</v>
      </c>
      <c r="F24" s="6" t="s">
        <v>473</v>
      </c>
      <c r="G24" s="6" t="s">
        <v>310</v>
      </c>
      <c r="H24" s="24" t="str">
        <f>IFERROR(INDEX(Inputs!$K$6:$K$24,MATCH(G24,Inputs!$J$6:$J$24,0)),"Unmapped")</f>
        <v>Structure Engineer</v>
      </c>
      <c r="I24" s="21" t="s">
        <v>720</v>
      </c>
      <c r="J24" s="45">
        <v>18000000</v>
      </c>
      <c r="K24" s="58">
        <f>IFERROR(INDEX(Inputs!$H$6:$H$53,MATCH(M24,Inputs!$F$6:$F$53,0)),Inputs!$B$6)</f>
        <v>15737</v>
      </c>
      <c r="L24" s="35">
        <f t="shared" si="0"/>
        <v>1143.8012327635508</v>
      </c>
      <c r="M24" s="61">
        <f t="shared" si="1"/>
        <v>44866</v>
      </c>
      <c r="N24" s="24" t="str">
        <f>IF(D24&lt;&gt;"Cash Movements","Manual",IF(COUNTIF(Bank_IDR!$J$8:$J$71,E24)+COUNTIF(Bank_USD!$J$8:$J$60,E24)&gt;0,"Matched","Unmatched"))</f>
        <v>Manual</v>
      </c>
      <c r="O24" s="6" t="s">
        <v>721</v>
      </c>
      <c r="P24" s="50" t="s">
        <v>766</v>
      </c>
      <c r="Q24" s="6">
        <v>19</v>
      </c>
    </row>
    <row r="25" spans="1:17">
      <c r="A25" s="6" t="s">
        <v>767</v>
      </c>
      <c r="B25" s="9">
        <v>44895</v>
      </c>
      <c r="C25" s="6" t="s">
        <v>717</v>
      </c>
      <c r="D25" s="6" t="s">
        <v>718</v>
      </c>
      <c r="E25" s="6" t="s">
        <v>761</v>
      </c>
      <c r="F25" s="6" t="s">
        <v>473</v>
      </c>
      <c r="G25" s="6" t="s">
        <v>310</v>
      </c>
      <c r="H25" s="24" t="str">
        <f>IFERROR(INDEX(Inputs!$K$6:$K$24,MATCH(G25,Inputs!$J$6:$J$24,0)),"Unmapped")</f>
        <v>Structure Engineer</v>
      </c>
      <c r="I25" s="21" t="s">
        <v>720</v>
      </c>
      <c r="J25" s="45">
        <v>13500000</v>
      </c>
      <c r="K25" s="58">
        <f>IFERROR(INDEX(Inputs!$H$6:$H$53,MATCH(M25,Inputs!$F$6:$F$53,0)),Inputs!$B$6)</f>
        <v>15737</v>
      </c>
      <c r="L25" s="35">
        <f t="shared" si="0"/>
        <v>857.85092457266319</v>
      </c>
      <c r="M25" s="61">
        <f t="shared" si="1"/>
        <v>44866</v>
      </c>
      <c r="N25" s="24" t="str">
        <f>IF(D25&lt;&gt;"Cash Movements","Manual",IF(COUNTIF(Bank_IDR!$J$8:$J$71,E25)+COUNTIF(Bank_USD!$J$8:$J$60,E25)&gt;0,"Matched","Unmatched"))</f>
        <v>Manual</v>
      </c>
      <c r="O25" s="6" t="s">
        <v>721</v>
      </c>
      <c r="P25" s="50" t="s">
        <v>768</v>
      </c>
      <c r="Q25" s="6">
        <v>20</v>
      </c>
    </row>
    <row r="26" spans="1:17">
      <c r="A26" s="6" t="s">
        <v>769</v>
      </c>
      <c r="B26" s="9">
        <v>44895</v>
      </c>
      <c r="C26" s="6" t="s">
        <v>717</v>
      </c>
      <c r="D26" s="6" t="s">
        <v>718</v>
      </c>
      <c r="E26" s="6" t="s">
        <v>761</v>
      </c>
      <c r="F26" s="6" t="s">
        <v>473</v>
      </c>
      <c r="G26" s="6" t="s">
        <v>310</v>
      </c>
      <c r="H26" s="24" t="str">
        <f>IFERROR(INDEX(Inputs!$K$6:$K$24,MATCH(G26,Inputs!$J$6:$J$24,0)),"Unmapped")</f>
        <v>Structure Engineer</v>
      </c>
      <c r="I26" s="21" t="s">
        <v>720</v>
      </c>
      <c r="J26" s="45">
        <v>13500000</v>
      </c>
      <c r="K26" s="58">
        <f>IFERROR(INDEX(Inputs!$H$6:$H$53,MATCH(M26,Inputs!$F$6:$F$53,0)),Inputs!$B$6)</f>
        <v>15737</v>
      </c>
      <c r="L26" s="35">
        <f t="shared" si="0"/>
        <v>857.85092457266319</v>
      </c>
      <c r="M26" s="61">
        <f t="shared" si="1"/>
        <v>44866</v>
      </c>
      <c r="N26" s="24" t="str">
        <f>IF(D26&lt;&gt;"Cash Movements","Manual",IF(COUNTIF(Bank_IDR!$J$8:$J$71,E26)+COUNTIF(Bank_USD!$J$8:$J$60,E26)&gt;0,"Matched","Unmatched"))</f>
        <v>Manual</v>
      </c>
      <c r="O26" s="6" t="s">
        <v>721</v>
      </c>
      <c r="P26" s="50" t="s">
        <v>770</v>
      </c>
      <c r="Q26" s="6">
        <v>21</v>
      </c>
    </row>
    <row r="27" spans="1:17" ht="24">
      <c r="A27" s="6" t="s">
        <v>771</v>
      </c>
      <c r="B27" s="9">
        <v>44903</v>
      </c>
      <c r="C27" s="6" t="s">
        <v>717</v>
      </c>
      <c r="D27" s="6" t="s">
        <v>718</v>
      </c>
      <c r="E27" s="6" t="s">
        <v>772</v>
      </c>
      <c r="F27" s="6" t="s">
        <v>498</v>
      </c>
      <c r="G27" s="6" t="s">
        <v>301</v>
      </c>
      <c r="H27" s="24" t="str">
        <f>IFERROR(INDEX(Inputs!$K$6:$K$24,MATCH(G27,Inputs!$J$6:$J$24,0)),"Unmapped")</f>
        <v>Architect Cost</v>
      </c>
      <c r="I27" s="21" t="s">
        <v>720</v>
      </c>
      <c r="J27" s="45">
        <v>26140500</v>
      </c>
      <c r="K27" s="58">
        <f>IFERROR(INDEX(Inputs!$H$6:$H$53,MATCH(M27,Inputs!$F$6:$F$53,0)),Inputs!$B$6)</f>
        <v>15731</v>
      </c>
      <c r="L27" s="35">
        <f t="shared" si="0"/>
        <v>1661.7188989892568</v>
      </c>
      <c r="M27" s="61">
        <f t="shared" si="1"/>
        <v>44896</v>
      </c>
      <c r="N27" s="24" t="str">
        <f>IF(D27&lt;&gt;"Cash Movements","Manual",IF(COUNTIF(Bank_IDR!$J$8:$J$71,E27)+COUNTIF(Bank_USD!$J$8:$J$60,E27)&gt;0,"Matched","Unmatched"))</f>
        <v>Manual</v>
      </c>
      <c r="O27" s="6" t="s">
        <v>721</v>
      </c>
      <c r="P27" s="50" t="s">
        <v>773</v>
      </c>
      <c r="Q27" s="6">
        <v>22</v>
      </c>
    </row>
    <row r="28" spans="1:17">
      <c r="A28" s="6" t="s">
        <v>774</v>
      </c>
      <c r="B28" s="9">
        <v>44908</v>
      </c>
      <c r="C28" s="6" t="s">
        <v>717</v>
      </c>
      <c r="D28" s="6" t="s">
        <v>718</v>
      </c>
      <c r="E28" s="6" t="s">
        <v>775</v>
      </c>
      <c r="F28" s="6" t="s">
        <v>498</v>
      </c>
      <c r="G28" s="6" t="s">
        <v>301</v>
      </c>
      <c r="H28" s="24" t="str">
        <f>IFERROR(INDEX(Inputs!$K$6:$K$24,MATCH(G28,Inputs!$J$6:$J$24,0)),"Unmapped")</f>
        <v>Architect Cost</v>
      </c>
      <c r="I28" s="21" t="s">
        <v>720</v>
      </c>
      <c r="J28" s="45">
        <v>67381495.500000015</v>
      </c>
      <c r="K28" s="58">
        <f>IFERROR(INDEX(Inputs!$H$6:$H$53,MATCH(M28,Inputs!$F$6:$F$53,0)),Inputs!$B$6)</f>
        <v>15731</v>
      </c>
      <c r="L28" s="35">
        <f t="shared" si="0"/>
        <v>4283.3574152946421</v>
      </c>
      <c r="M28" s="61">
        <f t="shared" si="1"/>
        <v>44896</v>
      </c>
      <c r="N28" s="24" t="str">
        <f>IF(D28&lt;&gt;"Cash Movements","Manual",IF(COUNTIF(Bank_IDR!$J$8:$J$71,E28)+COUNTIF(Bank_USD!$J$8:$J$60,E28)&gt;0,"Matched","Unmatched"))</f>
        <v>Manual</v>
      </c>
      <c r="O28" s="6" t="s">
        <v>721</v>
      </c>
      <c r="P28" s="50" t="s">
        <v>776</v>
      </c>
      <c r="Q28" s="6">
        <v>23</v>
      </c>
    </row>
    <row r="29" spans="1:17">
      <c r="A29" s="6" t="s">
        <v>777</v>
      </c>
      <c r="B29" s="9">
        <v>44908</v>
      </c>
      <c r="C29" s="6" t="s">
        <v>717</v>
      </c>
      <c r="D29" s="6" t="s">
        <v>718</v>
      </c>
      <c r="E29" s="6" t="s">
        <v>775</v>
      </c>
      <c r="F29" s="6" t="s">
        <v>498</v>
      </c>
      <c r="G29" s="6" t="s">
        <v>301</v>
      </c>
      <c r="H29" s="24" t="str">
        <f>IFERROR(INDEX(Inputs!$K$6:$K$24,MATCH(G29,Inputs!$J$6:$J$24,0)),"Unmapped")</f>
        <v>Architect Cost</v>
      </c>
      <c r="I29" s="21" t="s">
        <v>720</v>
      </c>
      <c r="J29" s="45">
        <v>103525093.5</v>
      </c>
      <c r="K29" s="58">
        <f>IFERROR(INDEX(Inputs!$H$6:$H$53,MATCH(M29,Inputs!$F$6:$F$53,0)),Inputs!$B$6)</f>
        <v>15731</v>
      </c>
      <c r="L29" s="35">
        <f t="shared" si="0"/>
        <v>6580.9607462971207</v>
      </c>
      <c r="M29" s="61">
        <f t="shared" si="1"/>
        <v>44896</v>
      </c>
      <c r="N29" s="24" t="str">
        <f>IF(D29&lt;&gt;"Cash Movements","Manual",IF(COUNTIF(Bank_IDR!$J$8:$J$71,E29)+COUNTIF(Bank_USD!$J$8:$J$60,E29)&gt;0,"Matched","Unmatched"))</f>
        <v>Manual</v>
      </c>
      <c r="O29" s="6" t="s">
        <v>721</v>
      </c>
      <c r="P29" s="50" t="s">
        <v>778</v>
      </c>
      <c r="Q29" s="6">
        <v>24</v>
      </c>
    </row>
    <row r="30" spans="1:17">
      <c r="A30" s="6" t="s">
        <v>779</v>
      </c>
      <c r="B30" s="9">
        <v>44910</v>
      </c>
      <c r="C30" s="6" t="s">
        <v>717</v>
      </c>
      <c r="D30" s="6" t="s">
        <v>718</v>
      </c>
      <c r="E30" s="6" t="s">
        <v>780</v>
      </c>
      <c r="F30" s="6" t="s">
        <v>360</v>
      </c>
      <c r="G30" s="6" t="s">
        <v>360</v>
      </c>
      <c r="H30" s="24" t="str">
        <f>IFERROR(INDEX(Inputs!$K$6:$K$24,MATCH(G30,Inputs!$J$6:$J$24,0)),"Unmapped")</f>
        <v>Miscellaneous</v>
      </c>
      <c r="I30" s="21" t="s">
        <v>720</v>
      </c>
      <c r="J30" s="45">
        <v>2080000</v>
      </c>
      <c r="K30" s="58">
        <f>IFERROR(INDEX(Inputs!$H$6:$H$53,MATCH(M30,Inputs!$F$6:$F$53,0)),Inputs!$B$6)</f>
        <v>15731</v>
      </c>
      <c r="L30" s="35">
        <f t="shared" si="0"/>
        <v>132.22299917360627</v>
      </c>
      <c r="M30" s="61">
        <f t="shared" si="1"/>
        <v>44896</v>
      </c>
      <c r="N30" s="24" t="str">
        <f>IF(D30&lt;&gt;"Cash Movements","Manual",IF(COUNTIF(Bank_IDR!$J$8:$J$71,E30)+COUNTIF(Bank_USD!$J$8:$J$60,E30)&gt;0,"Matched","Unmatched"))</f>
        <v>Manual</v>
      </c>
      <c r="O30" s="6" t="s">
        <v>721</v>
      </c>
      <c r="P30" s="50" t="s">
        <v>781</v>
      </c>
      <c r="Q30" s="6">
        <v>25</v>
      </c>
    </row>
    <row r="31" spans="1:17">
      <c r="A31" s="6" t="s">
        <v>782</v>
      </c>
      <c r="B31" s="9">
        <v>44910</v>
      </c>
      <c r="C31" s="6" t="s">
        <v>717</v>
      </c>
      <c r="D31" s="6" t="s">
        <v>718</v>
      </c>
      <c r="E31" s="6" t="s">
        <v>780</v>
      </c>
      <c r="F31" s="6" t="s">
        <v>360</v>
      </c>
      <c r="G31" s="6" t="s">
        <v>360</v>
      </c>
      <c r="H31" s="24" t="str">
        <f>IFERROR(INDEX(Inputs!$K$6:$K$24,MATCH(G31,Inputs!$J$6:$J$24,0)),"Unmapped")</f>
        <v>Miscellaneous</v>
      </c>
      <c r="I31" s="21" t="s">
        <v>720</v>
      </c>
      <c r="J31" s="45">
        <v>2500000</v>
      </c>
      <c r="K31" s="58">
        <f>IFERROR(INDEX(Inputs!$H$6:$H$53,MATCH(M31,Inputs!$F$6:$F$53,0)),Inputs!$B$6)</f>
        <v>15731</v>
      </c>
      <c r="L31" s="35">
        <f t="shared" si="0"/>
        <v>158.92187400673828</v>
      </c>
      <c r="M31" s="61">
        <f t="shared" si="1"/>
        <v>44896</v>
      </c>
      <c r="N31" s="24" t="str">
        <f>IF(D31&lt;&gt;"Cash Movements","Manual",IF(COUNTIF(Bank_IDR!$J$8:$J$71,E31)+COUNTIF(Bank_USD!$J$8:$J$60,E31)&gt;0,"Matched","Unmatched"))</f>
        <v>Manual</v>
      </c>
      <c r="O31" s="6" t="s">
        <v>721</v>
      </c>
      <c r="P31" s="50" t="s">
        <v>783</v>
      </c>
      <c r="Q31" s="6">
        <v>26</v>
      </c>
    </row>
    <row r="32" spans="1:17">
      <c r="A32" s="6" t="s">
        <v>784</v>
      </c>
      <c r="B32" s="9">
        <v>44910</v>
      </c>
      <c r="C32" s="6" t="s">
        <v>717</v>
      </c>
      <c r="D32" s="6" t="s">
        <v>718</v>
      </c>
      <c r="E32" s="6" t="s">
        <v>780</v>
      </c>
      <c r="F32" s="6" t="s">
        <v>360</v>
      </c>
      <c r="G32" s="6" t="s">
        <v>360</v>
      </c>
      <c r="H32" s="24" t="str">
        <f>IFERROR(INDEX(Inputs!$K$6:$K$24,MATCH(G32,Inputs!$J$6:$J$24,0)),"Unmapped")</f>
        <v>Miscellaneous</v>
      </c>
      <c r="I32" s="21" t="s">
        <v>720</v>
      </c>
      <c r="J32" s="45">
        <v>100000</v>
      </c>
      <c r="K32" s="58">
        <f>IFERROR(INDEX(Inputs!$H$6:$H$53,MATCH(M32,Inputs!$F$6:$F$53,0)),Inputs!$B$6)</f>
        <v>15731</v>
      </c>
      <c r="L32" s="35">
        <f t="shared" si="0"/>
        <v>6.3568749602695318</v>
      </c>
      <c r="M32" s="61">
        <f t="shared" si="1"/>
        <v>44896</v>
      </c>
      <c r="N32" s="24" t="str">
        <f>IF(D32&lt;&gt;"Cash Movements","Manual",IF(COUNTIF(Bank_IDR!$J$8:$J$71,E32)+COUNTIF(Bank_USD!$J$8:$J$60,E32)&gt;0,"Matched","Unmatched"))</f>
        <v>Manual</v>
      </c>
      <c r="O32" s="6" t="s">
        <v>721</v>
      </c>
      <c r="P32" s="50" t="s">
        <v>785</v>
      </c>
      <c r="Q32" s="6">
        <v>27</v>
      </c>
    </row>
    <row r="33" spans="1:17">
      <c r="A33" s="6" t="s">
        <v>786</v>
      </c>
      <c r="B33" s="9">
        <v>44910</v>
      </c>
      <c r="C33" s="6" t="s">
        <v>717</v>
      </c>
      <c r="D33" s="6" t="s">
        <v>718</v>
      </c>
      <c r="E33" s="6" t="s">
        <v>787</v>
      </c>
      <c r="F33" s="6" t="s">
        <v>473</v>
      </c>
      <c r="G33" s="6" t="s">
        <v>310</v>
      </c>
      <c r="H33" s="24" t="str">
        <f>IFERROR(INDEX(Inputs!$K$6:$K$24,MATCH(G33,Inputs!$J$6:$J$24,0)),"Unmapped")</f>
        <v>Structure Engineer</v>
      </c>
      <c r="I33" s="21" t="s">
        <v>720</v>
      </c>
      <c r="J33" s="45">
        <v>22200000</v>
      </c>
      <c r="K33" s="58">
        <f>IFERROR(INDEX(Inputs!$H$6:$H$53,MATCH(M33,Inputs!$F$6:$F$53,0)),Inputs!$B$6)</f>
        <v>15731</v>
      </c>
      <c r="L33" s="35">
        <f t="shared" si="0"/>
        <v>1411.2262411798361</v>
      </c>
      <c r="M33" s="61">
        <f t="shared" si="1"/>
        <v>44896</v>
      </c>
      <c r="N33" s="24" t="str">
        <f>IF(D33&lt;&gt;"Cash Movements","Manual",IF(COUNTIF(Bank_IDR!$J$8:$J$71,E33)+COUNTIF(Bank_USD!$J$8:$J$60,E33)&gt;0,"Matched","Unmatched"))</f>
        <v>Manual</v>
      </c>
      <c r="O33" s="6" t="s">
        <v>721</v>
      </c>
      <c r="P33" s="50" t="s">
        <v>788</v>
      </c>
      <c r="Q33" s="6">
        <v>28</v>
      </c>
    </row>
    <row r="34" spans="1:17">
      <c r="A34" s="6" t="s">
        <v>789</v>
      </c>
      <c r="B34" s="9">
        <v>44910</v>
      </c>
      <c r="C34" s="6" t="s">
        <v>717</v>
      </c>
      <c r="D34" s="6" t="s">
        <v>718</v>
      </c>
      <c r="E34" s="6" t="s">
        <v>787</v>
      </c>
      <c r="F34" s="6" t="s">
        <v>473</v>
      </c>
      <c r="G34" s="6" t="s">
        <v>310</v>
      </c>
      <c r="H34" s="24" t="str">
        <f>IFERROR(INDEX(Inputs!$K$6:$K$24,MATCH(G34,Inputs!$J$6:$J$24,0)),"Unmapped")</f>
        <v>Structure Engineer</v>
      </c>
      <c r="I34" s="21" t="s">
        <v>720</v>
      </c>
      <c r="J34" s="45">
        <v>26400000</v>
      </c>
      <c r="K34" s="58">
        <f>IFERROR(INDEX(Inputs!$H$6:$H$53,MATCH(M34,Inputs!$F$6:$F$53,0)),Inputs!$B$6)</f>
        <v>15731</v>
      </c>
      <c r="L34" s="35">
        <f t="shared" si="0"/>
        <v>1678.2149895111563</v>
      </c>
      <c r="M34" s="61">
        <f t="shared" si="1"/>
        <v>44896</v>
      </c>
      <c r="N34" s="24" t="str">
        <f>IF(D34&lt;&gt;"Cash Movements","Manual",IF(COUNTIF(Bank_IDR!$J$8:$J$71,E34)+COUNTIF(Bank_USD!$J$8:$J$60,E34)&gt;0,"Matched","Unmatched"))</f>
        <v>Manual</v>
      </c>
      <c r="O34" s="6" t="s">
        <v>721</v>
      </c>
      <c r="P34" s="50" t="s">
        <v>790</v>
      </c>
      <c r="Q34" s="6">
        <v>29</v>
      </c>
    </row>
    <row r="35" spans="1:17">
      <c r="A35" s="6" t="s">
        <v>791</v>
      </c>
      <c r="B35" s="9">
        <v>44919</v>
      </c>
      <c r="C35" s="6" t="s">
        <v>717</v>
      </c>
      <c r="D35" s="6" t="s">
        <v>718</v>
      </c>
      <c r="E35" s="6" t="s">
        <v>792</v>
      </c>
      <c r="F35" s="6" t="s">
        <v>360</v>
      </c>
      <c r="G35" s="6" t="s">
        <v>360</v>
      </c>
      <c r="H35" s="24" t="str">
        <f>IFERROR(INDEX(Inputs!$K$6:$K$24,MATCH(G35,Inputs!$J$6:$J$24,0)),"Unmapped")</f>
        <v>Miscellaneous</v>
      </c>
      <c r="I35" s="21" t="s">
        <v>720</v>
      </c>
      <c r="J35" s="45">
        <v>60000</v>
      </c>
      <c r="K35" s="58">
        <f>IFERROR(INDEX(Inputs!$H$6:$H$53,MATCH(M35,Inputs!$F$6:$F$53,0)),Inputs!$B$6)</f>
        <v>15731</v>
      </c>
      <c r="L35" s="35">
        <f t="shared" si="0"/>
        <v>3.8141249761617191</v>
      </c>
      <c r="M35" s="61">
        <f t="shared" si="1"/>
        <v>44896</v>
      </c>
      <c r="N35" s="24" t="str">
        <f>IF(D35&lt;&gt;"Cash Movements","Manual",IF(COUNTIF(Bank_IDR!$J$8:$J$71,E35)+COUNTIF(Bank_USD!$J$8:$J$60,E35)&gt;0,"Matched","Unmatched"))</f>
        <v>Manual</v>
      </c>
      <c r="O35" s="6" t="s">
        <v>721</v>
      </c>
      <c r="P35" s="50" t="s">
        <v>793</v>
      </c>
      <c r="Q35" s="6">
        <v>30</v>
      </c>
    </row>
    <row r="36" spans="1:17">
      <c r="A36" s="6" t="s">
        <v>794</v>
      </c>
      <c r="B36" s="9">
        <v>44926.999305555553</v>
      </c>
      <c r="C36" s="6" t="s">
        <v>795</v>
      </c>
      <c r="D36" s="6" t="s">
        <v>796</v>
      </c>
      <c r="E36" s="6" t="s">
        <v>566</v>
      </c>
      <c r="F36" s="6" t="s">
        <v>358</v>
      </c>
      <c r="G36" s="6" t="s">
        <v>436</v>
      </c>
      <c r="H36" s="24" t="str">
        <f>IFERROR(INDEX(Inputs!$K$6:$K$24,MATCH(G36,Inputs!$J$6:$J$24,0)),"Unmapped")</f>
        <v>Withholding tax</v>
      </c>
      <c r="I36" s="21" t="s">
        <v>720</v>
      </c>
      <c r="J36" s="45">
        <v>372.47</v>
      </c>
      <c r="K36" s="58">
        <f>IFERROR(INDEX(Inputs!$H$6:$H$53,MATCH(M36,Inputs!$F$6:$F$53,0)),Inputs!$B$6)</f>
        <v>15731</v>
      </c>
      <c r="L36" s="35">
        <f t="shared" si="0"/>
        <v>2.3677452164515927E-2</v>
      </c>
      <c r="M36" s="61">
        <f t="shared" si="1"/>
        <v>44896</v>
      </c>
      <c r="N36" s="24" t="str">
        <f>IF(D36&lt;&gt;"Cash Movements","Manual",IF(COUNTIF(Bank_IDR!$J$8:$J$71,E36)+COUNTIF(Bank_USD!$J$8:$J$60,E36)&gt;0,"Matched","Unmatched"))</f>
        <v>Matched</v>
      </c>
      <c r="O36" s="6" t="s">
        <v>797</v>
      </c>
      <c r="P36" s="50"/>
      <c r="Q36" s="6">
        <v>31</v>
      </c>
    </row>
    <row r="37" spans="1:17">
      <c r="A37" s="6" t="s">
        <v>798</v>
      </c>
      <c r="B37" s="9">
        <v>44927</v>
      </c>
      <c r="C37" s="6" t="s">
        <v>799</v>
      </c>
      <c r="D37" s="6" t="s">
        <v>799</v>
      </c>
      <c r="E37" s="6"/>
      <c r="F37" s="6" t="s">
        <v>533</v>
      </c>
      <c r="G37" s="6" t="s">
        <v>335</v>
      </c>
      <c r="H37" s="24" t="str">
        <f>IFERROR(INDEX(Inputs!$K$6:$K$24,MATCH(G37,Inputs!$J$6:$J$24,0)),"Unmapped")</f>
        <v>A&amp;G Allocation</v>
      </c>
      <c r="I37" s="21" t="s">
        <v>720</v>
      </c>
      <c r="J37" s="45">
        <v>411922500</v>
      </c>
      <c r="K37" s="58">
        <f>IFERROR(INDEX(Inputs!$H$6:$H$53,MATCH(M37,Inputs!$F$6:$F$53,0)),Inputs!$B$6)</f>
        <v>14979</v>
      </c>
      <c r="L37" s="35">
        <f t="shared" si="0"/>
        <v>27500</v>
      </c>
      <c r="M37" s="61">
        <f t="shared" si="1"/>
        <v>44927</v>
      </c>
      <c r="N37" s="24" t="str">
        <f>IF(D37&lt;&gt;"Cash Movements","Manual",IF(COUNTIF(Bank_IDR!$J$8:$J$71,E37)+COUNTIF(Bank_USD!$J$8:$J$60,E37)&gt;0,"Matched","Unmatched"))</f>
        <v>Manual</v>
      </c>
      <c r="O37" s="6" t="s">
        <v>797</v>
      </c>
      <c r="P37" s="50" t="s">
        <v>800</v>
      </c>
      <c r="Q37" s="6">
        <v>32</v>
      </c>
    </row>
    <row r="38" spans="1:17">
      <c r="A38" s="6" t="s">
        <v>801</v>
      </c>
      <c r="B38" s="9">
        <v>44928</v>
      </c>
      <c r="C38" s="6" t="s">
        <v>795</v>
      </c>
      <c r="D38" s="6" t="s">
        <v>718</v>
      </c>
      <c r="E38" s="6" t="s">
        <v>802</v>
      </c>
      <c r="F38" s="6" t="s">
        <v>498</v>
      </c>
      <c r="G38" s="6" t="s">
        <v>301</v>
      </c>
      <c r="H38" s="24" t="str">
        <f>IFERROR(INDEX(Inputs!$K$6:$K$24,MATCH(G38,Inputs!$J$6:$J$24,0)),"Unmapped")</f>
        <v>Architect Cost</v>
      </c>
      <c r="I38" s="21" t="s">
        <v>720</v>
      </c>
      <c r="J38" s="45">
        <v>20873150</v>
      </c>
      <c r="K38" s="58">
        <f>IFERROR(INDEX(Inputs!$H$6:$H$53,MATCH(M38,Inputs!$F$6:$F$53,0)),Inputs!$B$6)</f>
        <v>14979</v>
      </c>
      <c r="L38" s="35">
        <f t="shared" si="0"/>
        <v>1393.4942252486815</v>
      </c>
      <c r="M38" s="61">
        <f t="shared" si="1"/>
        <v>44927</v>
      </c>
      <c r="N38" s="24" t="str">
        <f>IF(D38&lt;&gt;"Cash Movements","Manual",IF(COUNTIF(Bank_IDR!$J$8:$J$71,E38)+COUNTIF(Bank_USD!$J$8:$J$60,E38)&gt;0,"Matched","Unmatched"))</f>
        <v>Manual</v>
      </c>
      <c r="O38" s="6" t="s">
        <v>721</v>
      </c>
      <c r="P38" s="50" t="s">
        <v>803</v>
      </c>
      <c r="Q38" s="6">
        <v>33</v>
      </c>
    </row>
    <row r="39" spans="1:17">
      <c r="A39" s="6" t="s">
        <v>804</v>
      </c>
      <c r="B39" s="9">
        <v>44928</v>
      </c>
      <c r="C39" s="6" t="s">
        <v>795</v>
      </c>
      <c r="D39" s="6" t="s">
        <v>718</v>
      </c>
      <c r="E39" s="6" t="s">
        <v>802</v>
      </c>
      <c r="F39" s="6" t="s">
        <v>498</v>
      </c>
      <c r="G39" s="6" t="s">
        <v>301</v>
      </c>
      <c r="H39" s="24" t="str">
        <f>IFERROR(INDEX(Inputs!$K$6:$K$24,MATCH(G39,Inputs!$J$6:$J$24,0)),"Unmapped")</f>
        <v>Architect Cost</v>
      </c>
      <c r="I39" s="21" t="s">
        <v>720</v>
      </c>
      <c r="J39" s="45">
        <v>49553661</v>
      </c>
      <c r="K39" s="58">
        <f>IFERROR(INDEX(Inputs!$H$6:$H$53,MATCH(M39,Inputs!$F$6:$F$53,0)),Inputs!$B$6)</f>
        <v>14979</v>
      </c>
      <c r="L39" s="35">
        <f t="shared" ref="L39:L70" si="2">J39/K39</f>
        <v>3308.2088924494292</v>
      </c>
      <c r="M39" s="61">
        <f t="shared" ref="M39:M70" si="3">DATE(YEAR(B39),MONTH(B39),1)</f>
        <v>44927</v>
      </c>
      <c r="N39" s="24" t="str">
        <f>IF(D39&lt;&gt;"Cash Movements","Manual",IF(COUNTIF(Bank_IDR!$J$8:$J$71,E39)+COUNTIF(Bank_USD!$J$8:$J$60,E39)&gt;0,"Matched","Unmatched"))</f>
        <v>Manual</v>
      </c>
      <c r="O39" s="6" t="s">
        <v>721</v>
      </c>
      <c r="P39" s="50" t="s">
        <v>805</v>
      </c>
      <c r="Q39" s="6">
        <v>34</v>
      </c>
    </row>
    <row r="40" spans="1:17">
      <c r="A40" s="6" t="s">
        <v>806</v>
      </c>
      <c r="B40" s="9">
        <v>44928</v>
      </c>
      <c r="C40" s="6" t="s">
        <v>795</v>
      </c>
      <c r="D40" s="6" t="s">
        <v>718</v>
      </c>
      <c r="E40" s="6" t="s">
        <v>802</v>
      </c>
      <c r="F40" s="6" t="s">
        <v>498</v>
      </c>
      <c r="G40" s="6" t="s">
        <v>301</v>
      </c>
      <c r="H40" s="24" t="str">
        <f>IFERROR(INDEX(Inputs!$K$6:$K$24,MATCH(G40,Inputs!$J$6:$J$24,0)),"Unmapped")</f>
        <v>Architect Cost</v>
      </c>
      <c r="I40" s="21" t="s">
        <v>720</v>
      </c>
      <c r="J40" s="45">
        <v>29983232</v>
      </c>
      <c r="K40" s="58">
        <f>IFERROR(INDEX(Inputs!$H$6:$H$53,MATCH(M40,Inputs!$F$6:$F$53,0)),Inputs!$B$6)</f>
        <v>14979</v>
      </c>
      <c r="L40" s="35">
        <f t="shared" si="2"/>
        <v>2001.6844916216037</v>
      </c>
      <c r="M40" s="61">
        <f t="shared" si="3"/>
        <v>44927</v>
      </c>
      <c r="N40" s="24" t="str">
        <f>IF(D40&lt;&gt;"Cash Movements","Manual",IF(COUNTIF(Bank_IDR!$J$8:$J$71,E40)+COUNTIF(Bank_USD!$J$8:$J$60,E40)&gt;0,"Matched","Unmatched"))</f>
        <v>Manual</v>
      </c>
      <c r="O40" s="6" t="s">
        <v>721</v>
      </c>
      <c r="P40" s="50" t="s">
        <v>807</v>
      </c>
      <c r="Q40" s="6">
        <v>35</v>
      </c>
    </row>
    <row r="41" spans="1:17">
      <c r="A41" s="6" t="s">
        <v>808</v>
      </c>
      <c r="B41" s="9">
        <v>44928</v>
      </c>
      <c r="C41" s="6" t="s">
        <v>795</v>
      </c>
      <c r="D41" s="6" t="s">
        <v>718</v>
      </c>
      <c r="E41" s="6" t="s">
        <v>802</v>
      </c>
      <c r="F41" s="6" t="s">
        <v>498</v>
      </c>
      <c r="G41" s="6" t="s">
        <v>301</v>
      </c>
      <c r="H41" s="24" t="str">
        <f>IFERROR(INDEX(Inputs!$K$6:$K$24,MATCH(G41,Inputs!$J$6:$J$24,0)),"Unmapped")</f>
        <v>Architect Cost</v>
      </c>
      <c r="I41" s="21" t="s">
        <v>720</v>
      </c>
      <c r="J41" s="45">
        <v>41746457</v>
      </c>
      <c r="K41" s="58">
        <f>IFERROR(INDEX(Inputs!$H$6:$H$53,MATCH(M41,Inputs!$F$6:$F$53,0)),Inputs!$B$6)</f>
        <v>14979</v>
      </c>
      <c r="L41" s="35">
        <f t="shared" si="2"/>
        <v>2786.9989318379062</v>
      </c>
      <c r="M41" s="61">
        <f t="shared" si="3"/>
        <v>44927</v>
      </c>
      <c r="N41" s="24" t="str">
        <f>IF(D41&lt;&gt;"Cash Movements","Manual",IF(COUNTIF(Bank_IDR!$J$8:$J$71,E41)+COUNTIF(Bank_USD!$J$8:$J$60,E41)&gt;0,"Matched","Unmatched"))</f>
        <v>Manual</v>
      </c>
      <c r="O41" s="6" t="s">
        <v>721</v>
      </c>
      <c r="P41" s="50" t="s">
        <v>809</v>
      </c>
      <c r="Q41" s="6">
        <v>36</v>
      </c>
    </row>
    <row r="42" spans="1:17">
      <c r="A42" s="6" t="s">
        <v>810</v>
      </c>
      <c r="B42" s="9">
        <v>44928</v>
      </c>
      <c r="C42" s="6" t="s">
        <v>717</v>
      </c>
      <c r="D42" s="6" t="s">
        <v>718</v>
      </c>
      <c r="E42" s="6" t="s">
        <v>811</v>
      </c>
      <c r="F42" s="6" t="s">
        <v>500</v>
      </c>
      <c r="G42" s="6" t="s">
        <v>414</v>
      </c>
      <c r="H42" s="24" t="str">
        <f>IFERROR(INDEX(Inputs!$K$6:$K$24,MATCH(G42,Inputs!$J$6:$J$24,0)),"Unmapped")</f>
        <v>Project Management</v>
      </c>
      <c r="I42" s="21" t="s">
        <v>720</v>
      </c>
      <c r="J42" s="45">
        <v>85500</v>
      </c>
      <c r="K42" s="58">
        <f>IFERROR(INDEX(Inputs!$H$6:$H$53,MATCH(M42,Inputs!$F$6:$F$53,0)),Inputs!$B$6)</f>
        <v>14979</v>
      </c>
      <c r="L42" s="35">
        <f t="shared" si="2"/>
        <v>5.7079911876627278</v>
      </c>
      <c r="M42" s="61">
        <f t="shared" si="3"/>
        <v>44927</v>
      </c>
      <c r="N42" s="24" t="str">
        <f>IF(D42&lt;&gt;"Cash Movements","Manual",IF(COUNTIF(Bank_IDR!$J$8:$J$71,E42)+COUNTIF(Bank_USD!$J$8:$J$60,E42)&gt;0,"Matched","Unmatched"))</f>
        <v>Manual</v>
      </c>
      <c r="O42" s="6" t="s">
        <v>721</v>
      </c>
      <c r="P42" s="50" t="s">
        <v>812</v>
      </c>
      <c r="Q42" s="6">
        <v>37</v>
      </c>
    </row>
    <row r="43" spans="1:17">
      <c r="A43" s="6" t="s">
        <v>813</v>
      </c>
      <c r="B43" s="9">
        <v>44928</v>
      </c>
      <c r="C43" s="6" t="s">
        <v>717</v>
      </c>
      <c r="D43" s="6" t="s">
        <v>718</v>
      </c>
      <c r="E43" s="6" t="s">
        <v>811</v>
      </c>
      <c r="F43" s="6" t="s">
        <v>500</v>
      </c>
      <c r="G43" s="6" t="s">
        <v>414</v>
      </c>
      <c r="H43" s="24" t="str">
        <f>IFERROR(INDEX(Inputs!$K$6:$K$24,MATCH(G43,Inputs!$J$6:$J$24,0)),"Unmapped")</f>
        <v>Project Management</v>
      </c>
      <c r="I43" s="21" t="s">
        <v>720</v>
      </c>
      <c r="J43" s="45">
        <v>70000</v>
      </c>
      <c r="K43" s="58">
        <f>IFERROR(INDEX(Inputs!$H$6:$H$53,MATCH(M43,Inputs!$F$6:$F$53,0)),Inputs!$B$6)</f>
        <v>14979</v>
      </c>
      <c r="L43" s="35">
        <f t="shared" si="2"/>
        <v>4.6732091594899527</v>
      </c>
      <c r="M43" s="61">
        <f t="shared" si="3"/>
        <v>44927</v>
      </c>
      <c r="N43" s="24" t="str">
        <f>IF(D43&lt;&gt;"Cash Movements","Manual",IF(COUNTIF(Bank_IDR!$J$8:$J$71,E43)+COUNTIF(Bank_USD!$J$8:$J$60,E43)&gt;0,"Matched","Unmatched"))</f>
        <v>Manual</v>
      </c>
      <c r="O43" s="6" t="s">
        <v>721</v>
      </c>
      <c r="P43" s="50" t="s">
        <v>814</v>
      </c>
      <c r="Q43" s="6">
        <v>38</v>
      </c>
    </row>
    <row r="44" spans="1:17">
      <c r="A44" s="6" t="s">
        <v>815</v>
      </c>
      <c r="B44" s="9">
        <v>44928</v>
      </c>
      <c r="C44" s="6" t="s">
        <v>717</v>
      </c>
      <c r="D44" s="6" t="s">
        <v>718</v>
      </c>
      <c r="E44" s="6" t="s">
        <v>811</v>
      </c>
      <c r="F44" s="6" t="s">
        <v>500</v>
      </c>
      <c r="G44" s="6" t="s">
        <v>414</v>
      </c>
      <c r="H44" s="24" t="str">
        <f>IFERROR(INDEX(Inputs!$K$6:$K$24,MATCH(G44,Inputs!$J$6:$J$24,0)),"Unmapped")</f>
        <v>Project Management</v>
      </c>
      <c r="I44" s="21" t="s">
        <v>720</v>
      </c>
      <c r="J44" s="45">
        <v>77500</v>
      </c>
      <c r="K44" s="58">
        <f>IFERROR(INDEX(Inputs!$H$6:$H$53,MATCH(M44,Inputs!$F$6:$F$53,0)),Inputs!$B$6)</f>
        <v>14979</v>
      </c>
      <c r="L44" s="35">
        <f t="shared" si="2"/>
        <v>5.1739101408638764</v>
      </c>
      <c r="M44" s="61">
        <f t="shared" si="3"/>
        <v>44927</v>
      </c>
      <c r="N44" s="24" t="str">
        <f>IF(D44&lt;&gt;"Cash Movements","Manual",IF(COUNTIF(Bank_IDR!$J$8:$J$71,E44)+COUNTIF(Bank_USD!$J$8:$J$60,E44)&gt;0,"Matched","Unmatched"))</f>
        <v>Manual</v>
      </c>
      <c r="O44" s="6" t="s">
        <v>721</v>
      </c>
      <c r="P44" s="50" t="s">
        <v>814</v>
      </c>
      <c r="Q44" s="6">
        <v>39</v>
      </c>
    </row>
    <row r="45" spans="1:17">
      <c r="A45" s="6" t="s">
        <v>816</v>
      </c>
      <c r="B45" s="9">
        <v>44928.390972222223</v>
      </c>
      <c r="C45" s="6" t="s">
        <v>795</v>
      </c>
      <c r="D45" s="6" t="s">
        <v>796</v>
      </c>
      <c r="E45" s="6" t="s">
        <v>568</v>
      </c>
      <c r="F45" s="6" t="s">
        <v>567</v>
      </c>
      <c r="G45" s="6" t="s">
        <v>360</v>
      </c>
      <c r="H45" s="24" t="str">
        <f>IFERROR(INDEX(Inputs!$K$6:$K$24,MATCH(G45,Inputs!$J$6:$J$24,0)),"Unmapped")</f>
        <v>Miscellaneous</v>
      </c>
      <c r="I45" s="21" t="s">
        <v>720</v>
      </c>
      <c r="J45" s="45">
        <v>275000</v>
      </c>
      <c r="K45" s="58">
        <f>IFERROR(INDEX(Inputs!$H$6:$H$53,MATCH(M45,Inputs!$F$6:$F$53,0)),Inputs!$B$6)</f>
        <v>14979</v>
      </c>
      <c r="L45" s="35">
        <f t="shared" si="2"/>
        <v>18.359035983710527</v>
      </c>
      <c r="M45" s="61">
        <f t="shared" si="3"/>
        <v>44927</v>
      </c>
      <c r="N45" s="24" t="str">
        <f>IF(D45&lt;&gt;"Cash Movements","Manual",IF(COUNTIF(Bank_IDR!$J$8:$J$71,E45)+COUNTIF(Bank_USD!$J$8:$J$60,E45)&gt;0,"Matched","Unmatched"))</f>
        <v>Matched</v>
      </c>
      <c r="O45" s="6" t="s">
        <v>797</v>
      </c>
      <c r="P45" s="50"/>
      <c r="Q45" s="6">
        <v>40</v>
      </c>
    </row>
    <row r="46" spans="1:17">
      <c r="A46" s="6" t="s">
        <v>817</v>
      </c>
      <c r="B46" s="9">
        <v>44928.390972222223</v>
      </c>
      <c r="C46" s="6" t="s">
        <v>795</v>
      </c>
      <c r="D46" s="6" t="s">
        <v>796</v>
      </c>
      <c r="E46" s="6" t="s">
        <v>569</v>
      </c>
      <c r="F46" s="6" t="s">
        <v>567</v>
      </c>
      <c r="G46" s="6" t="s">
        <v>360</v>
      </c>
      <c r="H46" s="24" t="str">
        <f>IFERROR(INDEX(Inputs!$K$6:$K$24,MATCH(G46,Inputs!$J$6:$J$24,0)),"Unmapped")</f>
        <v>Miscellaneous</v>
      </c>
      <c r="I46" s="21" t="s">
        <v>720</v>
      </c>
      <c r="J46" s="45">
        <v>275000</v>
      </c>
      <c r="K46" s="58">
        <f>IFERROR(INDEX(Inputs!$H$6:$H$53,MATCH(M46,Inputs!$F$6:$F$53,0)),Inputs!$B$6)</f>
        <v>14979</v>
      </c>
      <c r="L46" s="35">
        <f t="shared" si="2"/>
        <v>18.359035983710527</v>
      </c>
      <c r="M46" s="61">
        <f t="shared" si="3"/>
        <v>44927</v>
      </c>
      <c r="N46" s="24" t="str">
        <f>IF(D46&lt;&gt;"Cash Movements","Manual",IF(COUNTIF(Bank_IDR!$J$8:$J$71,E46)+COUNTIF(Bank_USD!$J$8:$J$60,E46)&gt;0,"Matched","Unmatched"))</f>
        <v>Matched</v>
      </c>
      <c r="O46" s="6" t="s">
        <v>797</v>
      </c>
      <c r="P46" s="50"/>
      <c r="Q46" s="6">
        <v>41</v>
      </c>
    </row>
    <row r="47" spans="1:17" ht="24">
      <c r="A47" s="6" t="s">
        <v>818</v>
      </c>
      <c r="B47" s="9">
        <v>44928.568749999999</v>
      </c>
      <c r="C47" s="6" t="s">
        <v>795</v>
      </c>
      <c r="D47" s="6" t="s">
        <v>796</v>
      </c>
      <c r="E47" s="6" t="s">
        <v>571</v>
      </c>
      <c r="F47" s="6" t="s">
        <v>498</v>
      </c>
      <c r="G47" s="6" t="s">
        <v>301</v>
      </c>
      <c r="H47" s="24" t="str">
        <f>IFERROR(INDEX(Inputs!$K$6:$K$24,MATCH(G47,Inputs!$J$6:$J$24,0)),"Unmapped")</f>
        <v>Architect Cost</v>
      </c>
      <c r="I47" s="21" t="s">
        <v>720</v>
      </c>
      <c r="J47" s="45">
        <v>134472370</v>
      </c>
      <c r="K47" s="58">
        <f>IFERROR(INDEX(Inputs!$H$6:$H$53,MATCH(M47,Inputs!$F$6:$F$53,0)),Inputs!$B$6)</f>
        <v>14979</v>
      </c>
      <c r="L47" s="35">
        <f t="shared" si="2"/>
        <v>8977.3930168903134</v>
      </c>
      <c r="M47" s="61">
        <f t="shared" si="3"/>
        <v>44927</v>
      </c>
      <c r="N47" s="24" t="str">
        <f>IF(D47&lt;&gt;"Cash Movements","Manual",IF(COUNTIF(Bank_IDR!$J$8:$J$71,E47)+COUNTIF(Bank_USD!$J$8:$J$60,E47)&gt;0,"Matched","Unmatched"))</f>
        <v>Matched</v>
      </c>
      <c r="O47" s="6" t="s">
        <v>797</v>
      </c>
      <c r="P47" s="50" t="s">
        <v>570</v>
      </c>
      <c r="Q47" s="6">
        <v>42</v>
      </c>
    </row>
    <row r="48" spans="1:17" ht="24">
      <c r="A48" s="6" t="s">
        <v>819</v>
      </c>
      <c r="B48" s="9">
        <v>44928.568749999999</v>
      </c>
      <c r="C48" s="6" t="s">
        <v>795</v>
      </c>
      <c r="D48" s="6" t="s">
        <v>796</v>
      </c>
      <c r="E48" s="6" t="s">
        <v>571</v>
      </c>
      <c r="F48" s="6" t="s">
        <v>498</v>
      </c>
      <c r="G48" s="6" t="s">
        <v>301</v>
      </c>
      <c r="H48" s="24" t="str">
        <f>IFERROR(INDEX(Inputs!$K$6:$K$24,MATCH(G48,Inputs!$J$6:$J$24,0)),"Unmapped")</f>
        <v>Architect Cost</v>
      </c>
      <c r="I48" s="21" t="s">
        <v>720</v>
      </c>
      <c r="J48" s="45">
        <v>2900</v>
      </c>
      <c r="K48" s="58">
        <f>IFERROR(INDEX(Inputs!$H$6:$H$53,MATCH(M48,Inputs!$F$6:$F$53,0)),Inputs!$B$6)</f>
        <v>14979</v>
      </c>
      <c r="L48" s="35">
        <f t="shared" si="2"/>
        <v>0.19360437946458375</v>
      </c>
      <c r="M48" s="61">
        <f t="shared" si="3"/>
        <v>44927</v>
      </c>
      <c r="N48" s="24" t="str">
        <f>IF(D48&lt;&gt;"Cash Movements","Manual",IF(COUNTIF(Bank_IDR!$J$8:$J$71,E48)+COUNTIF(Bank_USD!$J$8:$J$60,E48)&gt;0,"Matched","Unmatched"))</f>
        <v>Matched</v>
      </c>
      <c r="O48" s="6" t="s">
        <v>797</v>
      </c>
      <c r="P48" s="50" t="s">
        <v>570</v>
      </c>
      <c r="Q48" s="6">
        <v>43</v>
      </c>
    </row>
    <row r="49" spans="1:17">
      <c r="A49" s="6" t="s">
        <v>820</v>
      </c>
      <c r="B49" s="9">
        <v>44945.353472210649</v>
      </c>
      <c r="C49" s="6" t="s">
        <v>795</v>
      </c>
      <c r="D49" s="6" t="s">
        <v>796</v>
      </c>
      <c r="E49" s="6" t="s">
        <v>575</v>
      </c>
      <c r="F49" s="6" t="s">
        <v>482</v>
      </c>
      <c r="G49" s="6" t="s">
        <v>316</v>
      </c>
      <c r="H49" s="24" t="str">
        <f>IFERROR(INDEX(Inputs!$K$6:$K$24,MATCH(G49,Inputs!$J$6:$J$24,0)),"Unmapped")</f>
        <v>Notary</v>
      </c>
      <c r="I49" s="21" t="s">
        <v>720</v>
      </c>
      <c r="J49" s="45">
        <v>104462500</v>
      </c>
      <c r="K49" s="58">
        <f>IFERROR(INDEX(Inputs!$H$6:$H$53,MATCH(M49,Inputs!$F$6:$F$53,0)),Inputs!$B$6)</f>
        <v>14979</v>
      </c>
      <c r="L49" s="35">
        <f t="shared" si="2"/>
        <v>6973.9301689031308</v>
      </c>
      <c r="M49" s="61">
        <f t="shared" si="3"/>
        <v>44927</v>
      </c>
      <c r="N49" s="24" t="str">
        <f>IF(D49&lt;&gt;"Cash Movements","Manual",IF(COUNTIF(Bank_IDR!$J$8:$J$71,E49)+COUNTIF(Bank_USD!$J$8:$J$60,E49)&gt;0,"Matched","Unmatched"))</f>
        <v>Matched</v>
      </c>
      <c r="O49" s="6" t="s">
        <v>721</v>
      </c>
      <c r="P49" s="50" t="s">
        <v>821</v>
      </c>
      <c r="Q49" s="6">
        <v>44</v>
      </c>
    </row>
    <row r="50" spans="1:17">
      <c r="A50" s="6" t="s">
        <v>822</v>
      </c>
      <c r="B50" s="9">
        <v>44945.353472210649</v>
      </c>
      <c r="C50" s="6" t="s">
        <v>795</v>
      </c>
      <c r="D50" s="6" t="s">
        <v>796</v>
      </c>
      <c r="E50" s="6" t="s">
        <v>575</v>
      </c>
      <c r="F50" s="6" t="s">
        <v>482</v>
      </c>
      <c r="G50" s="6" t="s">
        <v>316</v>
      </c>
      <c r="H50" s="24" t="str">
        <f>IFERROR(INDEX(Inputs!$K$6:$K$24,MATCH(G50,Inputs!$J$6:$J$24,0)),"Unmapped")</f>
        <v>Notary</v>
      </c>
      <c r="I50" s="21" t="s">
        <v>720</v>
      </c>
      <c r="J50" s="45">
        <v>2900</v>
      </c>
      <c r="K50" s="58">
        <f>IFERROR(INDEX(Inputs!$H$6:$H$53,MATCH(M50,Inputs!$F$6:$F$53,0)),Inputs!$B$6)</f>
        <v>14979</v>
      </c>
      <c r="L50" s="35">
        <f t="shared" si="2"/>
        <v>0.19360437946458375</v>
      </c>
      <c r="M50" s="61">
        <f t="shared" si="3"/>
        <v>44927</v>
      </c>
      <c r="N50" s="24" t="str">
        <f>IF(D50&lt;&gt;"Cash Movements","Manual",IF(COUNTIF(Bank_IDR!$J$8:$J$71,E50)+COUNTIF(Bank_USD!$J$8:$J$60,E50)&gt;0,"Matched","Unmatched"))</f>
        <v>Matched</v>
      </c>
      <c r="O50" s="6" t="s">
        <v>797</v>
      </c>
      <c r="P50" s="50"/>
      <c r="Q50" s="6">
        <v>45</v>
      </c>
    </row>
    <row r="51" spans="1:17">
      <c r="A51" s="6" t="s">
        <v>823</v>
      </c>
      <c r="B51" s="9">
        <v>44946.999305555553</v>
      </c>
      <c r="C51" s="6" t="s">
        <v>795</v>
      </c>
      <c r="D51" s="6" t="s">
        <v>796</v>
      </c>
      <c r="E51" s="6" t="s">
        <v>577</v>
      </c>
      <c r="F51" s="6" t="s">
        <v>506</v>
      </c>
      <c r="G51" s="6" t="s">
        <v>360</v>
      </c>
      <c r="H51" s="24" t="str">
        <f>IFERROR(INDEX(Inputs!$K$6:$K$24,MATCH(G51,Inputs!$J$6:$J$24,0)),"Unmapped")</f>
        <v>Miscellaneous</v>
      </c>
      <c r="I51" s="21" t="s">
        <v>720</v>
      </c>
      <c r="J51" s="45">
        <v>30000</v>
      </c>
      <c r="K51" s="58">
        <f>IFERROR(INDEX(Inputs!$H$6:$H$53,MATCH(M51,Inputs!$F$6:$F$53,0)),Inputs!$B$6)</f>
        <v>14979</v>
      </c>
      <c r="L51" s="35">
        <f t="shared" si="2"/>
        <v>2.002803925495694</v>
      </c>
      <c r="M51" s="61">
        <f t="shared" si="3"/>
        <v>44927</v>
      </c>
      <c r="N51" s="24" t="str">
        <f>IF(D51&lt;&gt;"Cash Movements","Manual",IF(COUNTIF(Bank_IDR!$J$8:$J$71,E51)+COUNTIF(Bank_USD!$J$8:$J$60,E51)&gt;0,"Matched","Unmatched"))</f>
        <v>Matched</v>
      </c>
      <c r="O51" s="6" t="s">
        <v>797</v>
      </c>
      <c r="P51" s="50"/>
      <c r="Q51" s="6">
        <v>46</v>
      </c>
    </row>
    <row r="52" spans="1:17">
      <c r="A52" s="6" t="s">
        <v>824</v>
      </c>
      <c r="B52" s="9">
        <v>44946.999305555553</v>
      </c>
      <c r="C52" s="6" t="s">
        <v>795</v>
      </c>
      <c r="D52" s="6" t="s">
        <v>796</v>
      </c>
      <c r="E52" s="6" t="s">
        <v>649</v>
      </c>
      <c r="F52" s="6" t="s">
        <v>506</v>
      </c>
      <c r="G52" s="6" t="s">
        <v>360</v>
      </c>
      <c r="H52" s="24" t="str">
        <f>IFERROR(INDEX(Inputs!$K$6:$K$24,MATCH(G52,Inputs!$J$6:$J$24,0)),"Unmapped")</f>
        <v>Miscellaneous</v>
      </c>
      <c r="I52" s="21" t="s">
        <v>720</v>
      </c>
      <c r="J52" s="45">
        <v>74895</v>
      </c>
      <c r="K52" s="58">
        <f>IFERROR(INDEX(Inputs!$H$6:$H$53,MATCH(M52,Inputs!$F$6:$F$53,0)),Inputs!$B$6)</f>
        <v>14979</v>
      </c>
      <c r="L52" s="35">
        <f t="shared" si="2"/>
        <v>5</v>
      </c>
      <c r="M52" s="61">
        <f t="shared" si="3"/>
        <v>44927</v>
      </c>
      <c r="N52" s="24" t="str">
        <f>IF(D52&lt;&gt;"Cash Movements","Manual",IF(COUNTIF(Bank_IDR!$J$8:$J$71,E52)+COUNTIF(Bank_USD!$J$8:$J$60,E52)&gt;0,"Matched","Unmatched"))</f>
        <v>Matched</v>
      </c>
      <c r="O52" s="6" t="s">
        <v>797</v>
      </c>
      <c r="P52" s="50"/>
      <c r="Q52" s="6">
        <v>47</v>
      </c>
    </row>
    <row r="53" spans="1:17">
      <c r="A53" s="6" t="s">
        <v>825</v>
      </c>
      <c r="B53" s="9">
        <v>44953</v>
      </c>
      <c r="C53" s="6" t="s">
        <v>795</v>
      </c>
      <c r="D53" s="6" t="s">
        <v>718</v>
      </c>
      <c r="E53" s="6" t="s">
        <v>826</v>
      </c>
      <c r="F53" s="6" t="s">
        <v>498</v>
      </c>
      <c r="G53" s="6" t="s">
        <v>301</v>
      </c>
      <c r="H53" s="24" t="str">
        <f>IFERROR(INDEX(Inputs!$K$6:$K$24,MATCH(G53,Inputs!$J$6:$J$24,0)),"Unmapped")</f>
        <v>Architect Cost</v>
      </c>
      <c r="I53" s="21" t="s">
        <v>720</v>
      </c>
      <c r="J53" s="45">
        <v>84286700</v>
      </c>
      <c r="K53" s="58">
        <f>IFERROR(INDEX(Inputs!$H$6:$H$53,MATCH(M53,Inputs!$F$6:$F$53,0)),Inputs!$B$6)</f>
        <v>14979</v>
      </c>
      <c r="L53" s="35">
        <f t="shared" si="2"/>
        <v>5626.9911209025968</v>
      </c>
      <c r="M53" s="61">
        <f t="shared" si="3"/>
        <v>44927</v>
      </c>
      <c r="N53" s="24" t="str">
        <f>IF(D53&lt;&gt;"Cash Movements","Manual",IF(COUNTIF(Bank_IDR!$J$8:$J$71,E53)+COUNTIF(Bank_USD!$J$8:$J$60,E53)&gt;0,"Matched","Unmatched"))</f>
        <v>Manual</v>
      </c>
      <c r="O53" s="6" t="s">
        <v>721</v>
      </c>
      <c r="P53" s="50" t="s">
        <v>827</v>
      </c>
      <c r="Q53" s="6">
        <v>48</v>
      </c>
    </row>
    <row r="54" spans="1:17" ht="24">
      <c r="A54" s="6" t="s">
        <v>828</v>
      </c>
      <c r="B54" s="9">
        <v>44953.570833333331</v>
      </c>
      <c r="C54" s="6" t="s">
        <v>795</v>
      </c>
      <c r="D54" s="6" t="s">
        <v>796</v>
      </c>
      <c r="E54" s="6" t="s">
        <v>581</v>
      </c>
      <c r="F54" s="6" t="s">
        <v>498</v>
      </c>
      <c r="G54" s="6" t="s">
        <v>301</v>
      </c>
      <c r="H54" s="24" t="str">
        <f>IFERROR(INDEX(Inputs!$K$6:$K$24,MATCH(G54,Inputs!$J$6:$J$24,0)),"Unmapped")</f>
        <v>Architect Cost</v>
      </c>
      <c r="I54" s="21" t="s">
        <v>720</v>
      </c>
      <c r="J54" s="45">
        <v>79730666</v>
      </c>
      <c r="K54" s="58">
        <f>IFERROR(INDEX(Inputs!$H$6:$H$53,MATCH(M54,Inputs!$F$6:$F$53,0)),Inputs!$B$6)</f>
        <v>14979</v>
      </c>
      <c r="L54" s="35">
        <f t="shared" si="2"/>
        <v>5322.8296949062023</v>
      </c>
      <c r="M54" s="61">
        <f t="shared" si="3"/>
        <v>44927</v>
      </c>
      <c r="N54" s="24" t="str">
        <f>IF(D54&lt;&gt;"Cash Movements","Manual",IF(COUNTIF(Bank_IDR!$J$8:$J$71,E54)+COUNTIF(Bank_USD!$J$8:$J$60,E54)&gt;0,"Matched","Unmatched"))</f>
        <v>Matched</v>
      </c>
      <c r="O54" s="6" t="s">
        <v>797</v>
      </c>
      <c r="P54" s="50" t="s">
        <v>580</v>
      </c>
      <c r="Q54" s="6">
        <v>49</v>
      </c>
    </row>
    <row r="55" spans="1:17" ht="24">
      <c r="A55" s="6" t="s">
        <v>829</v>
      </c>
      <c r="B55" s="9">
        <v>44953.570833333331</v>
      </c>
      <c r="C55" s="6" t="s">
        <v>795</v>
      </c>
      <c r="D55" s="6" t="s">
        <v>796</v>
      </c>
      <c r="E55" s="6" t="s">
        <v>581</v>
      </c>
      <c r="F55" s="6" t="s">
        <v>498</v>
      </c>
      <c r="G55" s="6" t="s">
        <v>301</v>
      </c>
      <c r="H55" s="24" t="str">
        <f>IFERROR(INDEX(Inputs!$K$6:$K$24,MATCH(G55,Inputs!$J$6:$J$24,0)),"Unmapped")</f>
        <v>Architect Cost</v>
      </c>
      <c r="I55" s="21" t="s">
        <v>720</v>
      </c>
      <c r="J55" s="45">
        <v>2900</v>
      </c>
      <c r="K55" s="58">
        <f>IFERROR(INDEX(Inputs!$H$6:$H$53,MATCH(M55,Inputs!$F$6:$F$53,0)),Inputs!$B$6)</f>
        <v>14979</v>
      </c>
      <c r="L55" s="35">
        <f t="shared" si="2"/>
        <v>0.19360437946458375</v>
      </c>
      <c r="M55" s="61">
        <f t="shared" si="3"/>
        <v>44927</v>
      </c>
      <c r="N55" s="24" t="str">
        <f>IF(D55&lt;&gt;"Cash Movements","Manual",IF(COUNTIF(Bank_IDR!$J$8:$J$71,E55)+COUNTIF(Bank_USD!$J$8:$J$60,E55)&gt;0,"Matched","Unmatched"))</f>
        <v>Matched</v>
      </c>
      <c r="O55" s="6" t="s">
        <v>797</v>
      </c>
      <c r="P55" s="50" t="s">
        <v>580</v>
      </c>
      <c r="Q55" s="6">
        <v>50</v>
      </c>
    </row>
    <row r="56" spans="1:17">
      <c r="A56" s="6" t="s">
        <v>830</v>
      </c>
      <c r="B56" s="9">
        <v>44957.999305555553</v>
      </c>
      <c r="C56" s="6" t="s">
        <v>795</v>
      </c>
      <c r="D56" s="6" t="s">
        <v>796</v>
      </c>
      <c r="E56" s="6" t="s">
        <v>651</v>
      </c>
      <c r="F56" s="6" t="s">
        <v>358</v>
      </c>
      <c r="G56" s="6" t="s">
        <v>436</v>
      </c>
      <c r="H56" s="24" t="str">
        <f>IFERROR(INDEX(Inputs!$K$6:$K$24,MATCH(G56,Inputs!$J$6:$J$24,0)),"Unmapped")</f>
        <v>Withholding tax</v>
      </c>
      <c r="I56" s="21" t="s">
        <v>720</v>
      </c>
      <c r="J56" s="45">
        <v>60215.579999999994</v>
      </c>
      <c r="K56" s="58">
        <f>IFERROR(INDEX(Inputs!$H$6:$H$53,MATCH(M56,Inputs!$F$6:$F$53,0)),Inputs!$B$6)</f>
        <v>14979</v>
      </c>
      <c r="L56" s="35">
        <f t="shared" si="2"/>
        <v>4.0199999999999996</v>
      </c>
      <c r="M56" s="61">
        <f t="shared" si="3"/>
        <v>44927</v>
      </c>
      <c r="N56" s="24" t="str">
        <f>IF(D56&lt;&gt;"Cash Movements","Manual",IF(COUNTIF(Bank_IDR!$J$8:$J$71,E56)+COUNTIF(Bank_USD!$J$8:$J$60,E56)&gt;0,"Matched","Unmatched"))</f>
        <v>Matched</v>
      </c>
      <c r="O56" s="6" t="s">
        <v>797</v>
      </c>
      <c r="P56" s="50"/>
      <c r="Q56" s="6">
        <v>51</v>
      </c>
    </row>
    <row r="57" spans="1:17">
      <c r="A57" s="6" t="s">
        <v>831</v>
      </c>
      <c r="B57" s="9">
        <v>44958</v>
      </c>
      <c r="C57" s="6" t="s">
        <v>799</v>
      </c>
      <c r="D57" s="6" t="s">
        <v>799</v>
      </c>
      <c r="E57" s="6"/>
      <c r="F57" s="6" t="s">
        <v>533</v>
      </c>
      <c r="G57" s="6" t="s">
        <v>335</v>
      </c>
      <c r="H57" s="24" t="str">
        <f>IFERROR(INDEX(Inputs!$K$6:$K$24,MATCH(G57,Inputs!$J$6:$J$24,0)),"Unmapped")</f>
        <v>A&amp;G Allocation</v>
      </c>
      <c r="I57" s="21" t="s">
        <v>720</v>
      </c>
      <c r="J57" s="45">
        <v>420035000</v>
      </c>
      <c r="K57" s="58">
        <f>IFERROR(INDEX(Inputs!$H$6:$H$53,MATCH(M57,Inputs!$F$6:$F$53,0)),Inputs!$B$6)</f>
        <v>15274</v>
      </c>
      <c r="L57" s="35">
        <f t="shared" si="2"/>
        <v>27500</v>
      </c>
      <c r="M57" s="61">
        <f t="shared" si="3"/>
        <v>44958</v>
      </c>
      <c r="N57" s="24" t="str">
        <f>IF(D57&lt;&gt;"Cash Movements","Manual",IF(COUNTIF(Bank_IDR!$J$8:$J$71,E57)+COUNTIF(Bank_USD!$J$8:$J$60,E57)&gt;0,"Matched","Unmatched"))</f>
        <v>Manual</v>
      </c>
      <c r="O57" s="6" t="s">
        <v>797</v>
      </c>
      <c r="P57" s="50" t="s">
        <v>832</v>
      </c>
      <c r="Q57" s="6">
        <v>52</v>
      </c>
    </row>
    <row r="58" spans="1:17">
      <c r="A58" s="6" t="s">
        <v>833</v>
      </c>
      <c r="B58" s="9">
        <v>44977.999305555553</v>
      </c>
      <c r="C58" s="6" t="s">
        <v>795</v>
      </c>
      <c r="D58" s="6" t="s">
        <v>796</v>
      </c>
      <c r="E58" s="6" t="s">
        <v>582</v>
      </c>
      <c r="F58" s="6" t="s">
        <v>506</v>
      </c>
      <c r="G58" s="6" t="s">
        <v>360</v>
      </c>
      <c r="H58" s="24" t="str">
        <f>IFERROR(INDEX(Inputs!$K$6:$K$24,MATCH(G58,Inputs!$J$6:$J$24,0)),"Unmapped")</f>
        <v>Miscellaneous</v>
      </c>
      <c r="I58" s="21" t="s">
        <v>720</v>
      </c>
      <c r="J58" s="45">
        <v>30000</v>
      </c>
      <c r="K58" s="58">
        <f>IFERROR(INDEX(Inputs!$H$6:$H$53,MATCH(M58,Inputs!$F$6:$F$53,0)),Inputs!$B$6)</f>
        <v>15274</v>
      </c>
      <c r="L58" s="35">
        <f t="shared" si="2"/>
        <v>1.9641220374492603</v>
      </c>
      <c r="M58" s="61">
        <f t="shared" si="3"/>
        <v>44958</v>
      </c>
      <c r="N58" s="24" t="str">
        <f>IF(D58&lt;&gt;"Cash Movements","Manual",IF(COUNTIF(Bank_IDR!$J$8:$J$71,E58)+COUNTIF(Bank_USD!$J$8:$J$60,E58)&gt;0,"Matched","Unmatched"))</f>
        <v>Matched</v>
      </c>
      <c r="O58" s="6" t="s">
        <v>797</v>
      </c>
      <c r="P58" s="50"/>
      <c r="Q58" s="6">
        <v>53</v>
      </c>
    </row>
    <row r="59" spans="1:17">
      <c r="A59" s="6" t="s">
        <v>834</v>
      </c>
      <c r="B59" s="9">
        <v>44977.999305555553</v>
      </c>
      <c r="C59" s="6" t="s">
        <v>795</v>
      </c>
      <c r="D59" s="6" t="s">
        <v>796</v>
      </c>
      <c r="E59" s="6" t="s">
        <v>655</v>
      </c>
      <c r="F59" s="6" t="s">
        <v>506</v>
      </c>
      <c r="G59" s="6" t="s">
        <v>360</v>
      </c>
      <c r="H59" s="24" t="str">
        <f>IFERROR(INDEX(Inputs!$K$6:$K$24,MATCH(G59,Inputs!$J$6:$J$24,0)),"Unmapped")</f>
        <v>Miscellaneous</v>
      </c>
      <c r="I59" s="21" t="s">
        <v>720</v>
      </c>
      <c r="J59" s="45">
        <v>76370</v>
      </c>
      <c r="K59" s="58">
        <f>IFERROR(INDEX(Inputs!$H$6:$H$53,MATCH(M59,Inputs!$F$6:$F$53,0)),Inputs!$B$6)</f>
        <v>15274</v>
      </c>
      <c r="L59" s="35">
        <f t="shared" si="2"/>
        <v>5</v>
      </c>
      <c r="M59" s="61">
        <f t="shared" si="3"/>
        <v>44958</v>
      </c>
      <c r="N59" s="24" t="str">
        <f>IF(D59&lt;&gt;"Cash Movements","Manual",IF(COUNTIF(Bank_IDR!$J$8:$J$71,E59)+COUNTIF(Bank_USD!$J$8:$J$60,E59)&gt;0,"Matched","Unmatched"))</f>
        <v>Matched</v>
      </c>
      <c r="O59" s="6" t="s">
        <v>797</v>
      </c>
      <c r="P59" s="50"/>
      <c r="Q59" s="6">
        <v>54</v>
      </c>
    </row>
    <row r="60" spans="1:17" ht="24">
      <c r="A60" s="6" t="s">
        <v>835</v>
      </c>
      <c r="B60" s="9">
        <v>44981</v>
      </c>
      <c r="C60" s="6" t="s">
        <v>717</v>
      </c>
      <c r="D60" s="6" t="s">
        <v>718</v>
      </c>
      <c r="E60" s="6" t="s">
        <v>836</v>
      </c>
      <c r="F60" s="6" t="s">
        <v>473</v>
      </c>
      <c r="G60" s="6" t="s">
        <v>310</v>
      </c>
      <c r="H60" s="24" t="str">
        <f>IFERROR(INDEX(Inputs!$K$6:$K$24,MATCH(G60,Inputs!$J$6:$J$24,0)),"Unmapped")</f>
        <v>Structure Engineer</v>
      </c>
      <c r="I60" s="21" t="s">
        <v>720</v>
      </c>
      <c r="J60" s="45">
        <v>18000000</v>
      </c>
      <c r="K60" s="58">
        <f>IFERROR(INDEX(Inputs!$H$6:$H$53,MATCH(M60,Inputs!$F$6:$F$53,0)),Inputs!$B$6)</f>
        <v>15274</v>
      </c>
      <c r="L60" s="35">
        <f t="shared" si="2"/>
        <v>1178.473222469556</v>
      </c>
      <c r="M60" s="61">
        <f t="shared" si="3"/>
        <v>44958</v>
      </c>
      <c r="N60" s="24" t="str">
        <f>IF(D60&lt;&gt;"Cash Movements","Manual",IF(COUNTIF(Bank_IDR!$J$8:$J$71,E60)+COUNTIF(Bank_USD!$J$8:$J$60,E60)&gt;0,"Matched","Unmatched"))</f>
        <v>Manual</v>
      </c>
      <c r="O60" s="6" t="s">
        <v>721</v>
      </c>
      <c r="P60" s="50" t="s">
        <v>837</v>
      </c>
      <c r="Q60" s="6">
        <v>55</v>
      </c>
    </row>
    <row r="61" spans="1:17" ht="24">
      <c r="A61" s="6" t="s">
        <v>838</v>
      </c>
      <c r="B61" s="9">
        <v>44981</v>
      </c>
      <c r="C61" s="6" t="s">
        <v>717</v>
      </c>
      <c r="D61" s="6" t="s">
        <v>718</v>
      </c>
      <c r="E61" s="6" t="s">
        <v>836</v>
      </c>
      <c r="F61" s="6" t="s">
        <v>473</v>
      </c>
      <c r="G61" s="6" t="s">
        <v>310</v>
      </c>
      <c r="H61" s="24" t="str">
        <f>IFERROR(INDEX(Inputs!$K$6:$K$24,MATCH(G61,Inputs!$J$6:$J$24,0)),"Unmapped")</f>
        <v>Structure Engineer</v>
      </c>
      <c r="I61" s="21" t="s">
        <v>720</v>
      </c>
      <c r="J61" s="45">
        <v>13500000</v>
      </c>
      <c r="K61" s="58">
        <f>IFERROR(INDEX(Inputs!$H$6:$H$53,MATCH(M61,Inputs!$F$6:$F$53,0)),Inputs!$B$6)</f>
        <v>15274</v>
      </c>
      <c r="L61" s="35">
        <f t="shared" si="2"/>
        <v>883.85491685216709</v>
      </c>
      <c r="M61" s="61">
        <f t="shared" si="3"/>
        <v>44958</v>
      </c>
      <c r="N61" s="24" t="str">
        <f>IF(D61&lt;&gt;"Cash Movements","Manual",IF(COUNTIF(Bank_IDR!$J$8:$J$71,E61)+COUNTIF(Bank_USD!$J$8:$J$60,E61)&gt;0,"Matched","Unmatched"))</f>
        <v>Manual</v>
      </c>
      <c r="O61" s="6" t="s">
        <v>721</v>
      </c>
      <c r="P61" s="50" t="s">
        <v>839</v>
      </c>
      <c r="Q61" s="6">
        <v>56</v>
      </c>
    </row>
    <row r="62" spans="1:17" ht="24">
      <c r="A62" s="6" t="s">
        <v>840</v>
      </c>
      <c r="B62" s="9">
        <v>44981</v>
      </c>
      <c r="C62" s="6" t="s">
        <v>717</v>
      </c>
      <c r="D62" s="6" t="s">
        <v>718</v>
      </c>
      <c r="E62" s="6" t="s">
        <v>836</v>
      </c>
      <c r="F62" s="6" t="s">
        <v>473</v>
      </c>
      <c r="G62" s="6" t="s">
        <v>310</v>
      </c>
      <c r="H62" s="24" t="str">
        <f>IFERROR(INDEX(Inputs!$K$6:$K$24,MATCH(G62,Inputs!$J$6:$J$24,0)),"Unmapped")</f>
        <v>Structure Engineer</v>
      </c>
      <c r="I62" s="21" t="s">
        <v>720</v>
      </c>
      <c r="J62" s="45">
        <v>22200000</v>
      </c>
      <c r="K62" s="58">
        <f>IFERROR(INDEX(Inputs!$H$6:$H$53,MATCH(M62,Inputs!$F$6:$F$53,0)),Inputs!$B$6)</f>
        <v>15274</v>
      </c>
      <c r="L62" s="35">
        <f t="shared" si="2"/>
        <v>1453.4503077124525</v>
      </c>
      <c r="M62" s="61">
        <f t="shared" si="3"/>
        <v>44958</v>
      </c>
      <c r="N62" s="24" t="str">
        <f>IF(D62&lt;&gt;"Cash Movements","Manual",IF(COUNTIF(Bank_IDR!$J$8:$J$71,E62)+COUNTIF(Bank_USD!$J$8:$J$60,E62)&gt;0,"Matched","Unmatched"))</f>
        <v>Manual</v>
      </c>
      <c r="O62" s="6" t="s">
        <v>721</v>
      </c>
      <c r="P62" s="50" t="s">
        <v>841</v>
      </c>
      <c r="Q62" s="6">
        <v>57</v>
      </c>
    </row>
    <row r="63" spans="1:17" ht="24">
      <c r="A63" s="6" t="s">
        <v>842</v>
      </c>
      <c r="B63" s="9">
        <v>44981</v>
      </c>
      <c r="C63" s="6" t="s">
        <v>717</v>
      </c>
      <c r="D63" s="6" t="s">
        <v>718</v>
      </c>
      <c r="E63" s="6" t="s">
        <v>836</v>
      </c>
      <c r="F63" s="6" t="s">
        <v>473</v>
      </c>
      <c r="G63" s="6" t="s">
        <v>310</v>
      </c>
      <c r="H63" s="24" t="str">
        <f>IFERROR(INDEX(Inputs!$K$6:$K$24,MATCH(G63,Inputs!$J$6:$J$24,0)),"Unmapped")</f>
        <v>Structure Engineer</v>
      </c>
      <c r="I63" s="21" t="s">
        <v>720</v>
      </c>
      <c r="J63" s="45">
        <v>13500000</v>
      </c>
      <c r="K63" s="58">
        <f>IFERROR(INDEX(Inputs!$H$6:$H$53,MATCH(M63,Inputs!$F$6:$F$53,0)),Inputs!$B$6)</f>
        <v>15274</v>
      </c>
      <c r="L63" s="35">
        <f t="shared" si="2"/>
        <v>883.85491685216709</v>
      </c>
      <c r="M63" s="61">
        <f t="shared" si="3"/>
        <v>44958</v>
      </c>
      <c r="N63" s="24" t="str">
        <f>IF(D63&lt;&gt;"Cash Movements","Manual",IF(COUNTIF(Bank_IDR!$J$8:$J$71,E63)+COUNTIF(Bank_USD!$J$8:$J$60,E63)&gt;0,"Matched","Unmatched"))</f>
        <v>Manual</v>
      </c>
      <c r="O63" s="6" t="s">
        <v>721</v>
      </c>
      <c r="P63" s="50" t="s">
        <v>843</v>
      </c>
      <c r="Q63" s="6">
        <v>58</v>
      </c>
    </row>
    <row r="64" spans="1:17">
      <c r="A64" s="6" t="s">
        <v>844</v>
      </c>
      <c r="B64" s="9">
        <v>44985</v>
      </c>
      <c r="C64" s="6" t="s">
        <v>717</v>
      </c>
      <c r="D64" s="6" t="s">
        <v>718</v>
      </c>
      <c r="E64" s="6" t="s">
        <v>845</v>
      </c>
      <c r="F64" s="6" t="s">
        <v>360</v>
      </c>
      <c r="G64" s="6" t="s">
        <v>360</v>
      </c>
      <c r="H64" s="24" t="str">
        <f>IFERROR(INDEX(Inputs!$K$6:$K$24,MATCH(G64,Inputs!$J$6:$J$24,0)),"Unmapped")</f>
        <v>Miscellaneous</v>
      </c>
      <c r="I64" s="21" t="s">
        <v>720</v>
      </c>
      <c r="J64" s="45">
        <v>3265847</v>
      </c>
      <c r="K64" s="58">
        <f>IFERROR(INDEX(Inputs!$H$6:$H$53,MATCH(M64,Inputs!$F$6:$F$53,0)),Inputs!$B$6)</f>
        <v>15274</v>
      </c>
      <c r="L64" s="35">
        <f t="shared" si="2"/>
        <v>213.8174021212518</v>
      </c>
      <c r="M64" s="61">
        <f t="shared" si="3"/>
        <v>44958</v>
      </c>
      <c r="N64" s="24" t="str">
        <f>IF(D64&lt;&gt;"Cash Movements","Manual",IF(COUNTIF(Bank_IDR!$J$8:$J$71,E64)+COUNTIF(Bank_USD!$J$8:$J$60,E64)&gt;0,"Matched","Unmatched"))</f>
        <v>Manual</v>
      </c>
      <c r="O64" s="6" t="s">
        <v>721</v>
      </c>
      <c r="P64" s="50" t="s">
        <v>846</v>
      </c>
      <c r="Q64" s="6">
        <v>59</v>
      </c>
    </row>
    <row r="65" spans="1:17">
      <c r="A65" s="6" t="s">
        <v>847</v>
      </c>
      <c r="B65" s="9">
        <v>44985</v>
      </c>
      <c r="C65" s="6" t="s">
        <v>717</v>
      </c>
      <c r="D65" s="6" t="s">
        <v>718</v>
      </c>
      <c r="E65" s="6" t="s">
        <v>848</v>
      </c>
      <c r="F65" s="6" t="s">
        <v>482</v>
      </c>
      <c r="G65" s="6" t="s">
        <v>316</v>
      </c>
      <c r="H65" s="24" t="str">
        <f>IFERROR(INDEX(Inputs!$K$6:$K$24,MATCH(G65,Inputs!$J$6:$J$24,0)),"Unmapped")</f>
        <v>Notary</v>
      </c>
      <c r="I65" s="21" t="s">
        <v>720</v>
      </c>
      <c r="J65" s="45">
        <v>3000000</v>
      </c>
      <c r="K65" s="58">
        <f>IFERROR(INDEX(Inputs!$H$6:$H$53,MATCH(M65,Inputs!$F$6:$F$53,0)),Inputs!$B$6)</f>
        <v>15274</v>
      </c>
      <c r="L65" s="35">
        <f t="shared" si="2"/>
        <v>196.41220374492602</v>
      </c>
      <c r="M65" s="61">
        <f t="shared" si="3"/>
        <v>44958</v>
      </c>
      <c r="N65" s="24" t="str">
        <f>IF(D65&lt;&gt;"Cash Movements","Manual",IF(COUNTIF(Bank_IDR!$J$8:$J$71,E65)+COUNTIF(Bank_USD!$J$8:$J$60,E65)&gt;0,"Matched","Unmatched"))</f>
        <v>Manual</v>
      </c>
      <c r="O65" s="6" t="s">
        <v>721</v>
      </c>
      <c r="P65" s="50" t="s">
        <v>849</v>
      </c>
      <c r="Q65" s="6">
        <v>60</v>
      </c>
    </row>
    <row r="66" spans="1:17">
      <c r="A66" s="6" t="s">
        <v>850</v>
      </c>
      <c r="B66" s="9">
        <v>44985</v>
      </c>
      <c r="C66" s="6" t="s">
        <v>717</v>
      </c>
      <c r="D66" s="6" t="s">
        <v>718</v>
      </c>
      <c r="E66" s="6" t="s">
        <v>848</v>
      </c>
      <c r="F66" s="6" t="s">
        <v>480</v>
      </c>
      <c r="G66" s="6" t="s">
        <v>325</v>
      </c>
      <c r="H66" s="24" t="str">
        <f>IFERROR(INDEX(Inputs!$K$6:$K$24,MATCH(G66,Inputs!$J$6:$J$24,0)),"Unmapped")</f>
        <v>Soil Test</v>
      </c>
      <c r="I66" s="21" t="s">
        <v>720</v>
      </c>
      <c r="J66" s="45">
        <v>185103600</v>
      </c>
      <c r="K66" s="58">
        <f>IFERROR(INDEX(Inputs!$H$6:$H$53,MATCH(M66,Inputs!$F$6:$F$53,0)),Inputs!$B$6)</f>
        <v>15274</v>
      </c>
      <c r="L66" s="35">
        <f t="shared" si="2"/>
        <v>12118.86866570643</v>
      </c>
      <c r="M66" s="61">
        <f t="shared" si="3"/>
        <v>44958</v>
      </c>
      <c r="N66" s="24" t="str">
        <f>IF(D66&lt;&gt;"Cash Movements","Manual",IF(COUNTIF(Bank_IDR!$J$8:$J$71,E66)+COUNTIF(Bank_USD!$J$8:$J$60,E66)&gt;0,"Matched","Unmatched"))</f>
        <v>Manual</v>
      </c>
      <c r="O66" s="6" t="s">
        <v>721</v>
      </c>
      <c r="P66" s="50" t="s">
        <v>851</v>
      </c>
      <c r="Q66" s="6">
        <v>61</v>
      </c>
    </row>
    <row r="67" spans="1:17">
      <c r="A67" s="6" t="s">
        <v>852</v>
      </c>
      <c r="B67" s="9">
        <v>44985.999305555553</v>
      </c>
      <c r="C67" s="6" t="s">
        <v>795</v>
      </c>
      <c r="D67" s="6" t="s">
        <v>796</v>
      </c>
      <c r="E67" s="6" t="s">
        <v>656</v>
      </c>
      <c r="F67" s="6" t="s">
        <v>358</v>
      </c>
      <c r="G67" s="6" t="s">
        <v>436</v>
      </c>
      <c r="H67" s="24" t="str">
        <f>IFERROR(INDEX(Inputs!$K$6:$K$24,MATCH(G67,Inputs!$J$6:$J$24,0)),"Unmapped")</f>
        <v>Withholding tax</v>
      </c>
      <c r="I67" s="21" t="s">
        <v>720</v>
      </c>
      <c r="J67" s="45">
        <v>88741.939999999988</v>
      </c>
      <c r="K67" s="58">
        <f>IFERROR(INDEX(Inputs!$H$6:$H$53,MATCH(M67,Inputs!$F$6:$F$53,0)),Inputs!$B$6)</f>
        <v>15274</v>
      </c>
      <c r="L67" s="35">
        <f t="shared" si="2"/>
        <v>5.81</v>
      </c>
      <c r="M67" s="61">
        <f t="shared" si="3"/>
        <v>44958</v>
      </c>
      <c r="N67" s="24" t="str">
        <f>IF(D67&lt;&gt;"Cash Movements","Manual",IF(COUNTIF(Bank_IDR!$J$8:$J$71,E67)+COUNTIF(Bank_USD!$J$8:$J$60,E67)&gt;0,"Matched","Unmatched"))</f>
        <v>Matched</v>
      </c>
      <c r="O67" s="6" t="s">
        <v>797</v>
      </c>
      <c r="P67" s="50"/>
      <c r="Q67" s="6">
        <v>62</v>
      </c>
    </row>
    <row r="68" spans="1:17">
      <c r="A68" s="6" t="s">
        <v>853</v>
      </c>
      <c r="B68" s="9">
        <v>44986</v>
      </c>
      <c r="C68" s="6" t="s">
        <v>799</v>
      </c>
      <c r="D68" s="6" t="s">
        <v>799</v>
      </c>
      <c r="E68" s="6"/>
      <c r="F68" s="6" t="s">
        <v>533</v>
      </c>
      <c r="G68" s="6" t="s">
        <v>335</v>
      </c>
      <c r="H68" s="24" t="str">
        <f>IFERROR(INDEX(Inputs!$K$6:$K$24,MATCH(G68,Inputs!$J$6:$J$24,0)),"Unmapped")</f>
        <v>A&amp;G Allocation</v>
      </c>
      <c r="I68" s="21" t="s">
        <v>720</v>
      </c>
      <c r="J68" s="45">
        <v>414205000</v>
      </c>
      <c r="K68" s="58">
        <f>IFERROR(INDEX(Inputs!$H$6:$H$53,MATCH(M68,Inputs!$F$6:$F$53,0)),Inputs!$B$6)</f>
        <v>15062</v>
      </c>
      <c r="L68" s="35">
        <f t="shared" si="2"/>
        <v>27500</v>
      </c>
      <c r="M68" s="61">
        <f t="shared" si="3"/>
        <v>44986</v>
      </c>
      <c r="N68" s="24" t="str">
        <f>IF(D68&lt;&gt;"Cash Movements","Manual",IF(COUNTIF(Bank_IDR!$J$8:$J$71,E68)+COUNTIF(Bank_USD!$J$8:$J$60,E68)&gt;0,"Matched","Unmatched"))</f>
        <v>Manual</v>
      </c>
      <c r="O68" s="6" t="s">
        <v>797</v>
      </c>
      <c r="P68" s="50" t="s">
        <v>854</v>
      </c>
      <c r="Q68" s="6">
        <v>63</v>
      </c>
    </row>
    <row r="69" spans="1:17" ht="24">
      <c r="A69" s="6" t="s">
        <v>855</v>
      </c>
      <c r="B69" s="9">
        <v>44991</v>
      </c>
      <c r="C69" s="6" t="s">
        <v>717</v>
      </c>
      <c r="D69" s="6" t="s">
        <v>718</v>
      </c>
      <c r="E69" s="6" t="s">
        <v>856</v>
      </c>
      <c r="F69" s="6" t="s">
        <v>498</v>
      </c>
      <c r="G69" s="6" t="s">
        <v>301</v>
      </c>
      <c r="H69" s="24" t="str">
        <f>IFERROR(INDEX(Inputs!$K$6:$K$24,MATCH(G69,Inputs!$J$6:$J$24,0)),"Unmapped")</f>
        <v>Architect Cost</v>
      </c>
      <c r="I69" s="21" t="s">
        <v>720</v>
      </c>
      <c r="J69" s="45">
        <v>186395895</v>
      </c>
      <c r="K69" s="58">
        <f>IFERROR(INDEX(Inputs!$H$6:$H$53,MATCH(M69,Inputs!$F$6:$F$53,0)),Inputs!$B$6)</f>
        <v>15062</v>
      </c>
      <c r="L69" s="35">
        <f t="shared" si="2"/>
        <v>12375.241999734431</v>
      </c>
      <c r="M69" s="61">
        <f t="shared" si="3"/>
        <v>44986</v>
      </c>
      <c r="N69" s="24" t="str">
        <f>IF(D69&lt;&gt;"Cash Movements","Manual",IF(COUNTIF(Bank_IDR!$J$8:$J$71,E69)+COUNTIF(Bank_USD!$J$8:$J$60,E69)&gt;0,"Matched","Unmatched"))</f>
        <v>Manual</v>
      </c>
      <c r="O69" s="6" t="s">
        <v>797</v>
      </c>
      <c r="P69" s="50" t="s">
        <v>857</v>
      </c>
      <c r="Q69" s="6">
        <v>64</v>
      </c>
    </row>
    <row r="70" spans="1:17">
      <c r="A70" s="6" t="s">
        <v>858</v>
      </c>
      <c r="B70" s="9">
        <v>44991</v>
      </c>
      <c r="C70" s="6" t="s">
        <v>717</v>
      </c>
      <c r="D70" s="6" t="s">
        <v>718</v>
      </c>
      <c r="E70" s="6" t="s">
        <v>856</v>
      </c>
      <c r="F70" s="6" t="s">
        <v>498</v>
      </c>
      <c r="G70" s="6" t="s">
        <v>301</v>
      </c>
      <c r="H70" s="24" t="str">
        <f>IFERROR(INDEX(Inputs!$K$6:$K$24,MATCH(G70,Inputs!$J$6:$J$24,0)),"Unmapped")</f>
        <v>Architect Cost</v>
      </c>
      <c r="I70" s="21" t="s">
        <v>720</v>
      </c>
      <c r="J70" s="45">
        <v>22504627</v>
      </c>
      <c r="K70" s="58">
        <f>IFERROR(INDEX(Inputs!$H$6:$H$53,MATCH(M70,Inputs!$F$6:$F$53,0)),Inputs!$B$6)</f>
        <v>15062</v>
      </c>
      <c r="L70" s="35">
        <f t="shared" si="2"/>
        <v>1494.1327180985261</v>
      </c>
      <c r="M70" s="61">
        <f t="shared" si="3"/>
        <v>44986</v>
      </c>
      <c r="N70" s="24" t="str">
        <f>IF(D70&lt;&gt;"Cash Movements","Manual",IF(COUNTIF(Bank_IDR!$J$8:$J$71,E70)+COUNTIF(Bank_USD!$J$8:$J$60,E70)&gt;0,"Matched","Unmatched"))</f>
        <v>Manual</v>
      </c>
      <c r="O70" s="6" t="s">
        <v>797</v>
      </c>
      <c r="P70" s="50" t="s">
        <v>859</v>
      </c>
      <c r="Q70" s="6">
        <v>65</v>
      </c>
    </row>
    <row r="71" spans="1:17">
      <c r="A71" s="6" t="s">
        <v>860</v>
      </c>
      <c r="B71" s="9">
        <v>44998</v>
      </c>
      <c r="C71" s="6" t="s">
        <v>717</v>
      </c>
      <c r="D71" s="6" t="s">
        <v>718</v>
      </c>
      <c r="E71" s="6" t="s">
        <v>856</v>
      </c>
      <c r="F71" s="6" t="s">
        <v>500</v>
      </c>
      <c r="G71" s="6" t="s">
        <v>414</v>
      </c>
      <c r="H71" s="24" t="str">
        <f>IFERROR(INDEX(Inputs!$K$6:$K$24,MATCH(G71,Inputs!$J$6:$J$24,0)),"Unmapped")</f>
        <v>Project Management</v>
      </c>
      <c r="I71" s="21" t="s">
        <v>720</v>
      </c>
      <c r="J71" s="45">
        <v>81000</v>
      </c>
      <c r="K71" s="58">
        <f>IFERROR(INDEX(Inputs!$H$6:$H$53,MATCH(M71,Inputs!$F$6:$F$53,0)),Inputs!$B$6)</f>
        <v>15062</v>
      </c>
      <c r="L71" s="35">
        <f t="shared" ref="L71:L102" si="4">J71/K71</f>
        <v>5.3777718762448545</v>
      </c>
      <c r="M71" s="61">
        <f t="shared" ref="M71:M102" si="5">DATE(YEAR(B71),MONTH(B71),1)</f>
        <v>44986</v>
      </c>
      <c r="N71" s="24" t="str">
        <f>IF(D71&lt;&gt;"Cash Movements","Manual",IF(COUNTIF(Bank_IDR!$J$8:$J$71,E71)+COUNTIF(Bank_USD!$J$8:$J$60,E71)&gt;0,"Matched","Unmatched"))</f>
        <v>Manual</v>
      </c>
      <c r="O71" s="6" t="s">
        <v>721</v>
      </c>
      <c r="P71" s="50" t="s">
        <v>861</v>
      </c>
      <c r="Q71" s="6">
        <v>66</v>
      </c>
    </row>
    <row r="72" spans="1:17">
      <c r="A72" s="6" t="s">
        <v>862</v>
      </c>
      <c r="B72" s="9">
        <v>44998</v>
      </c>
      <c r="C72" s="6" t="s">
        <v>717</v>
      </c>
      <c r="D72" s="6" t="s">
        <v>718</v>
      </c>
      <c r="E72" s="6" t="s">
        <v>856</v>
      </c>
      <c r="F72" s="6" t="s">
        <v>500</v>
      </c>
      <c r="G72" s="6" t="s">
        <v>414</v>
      </c>
      <c r="H72" s="24" t="str">
        <f>IFERROR(INDEX(Inputs!$K$6:$K$24,MATCH(G72,Inputs!$J$6:$J$24,0)),"Unmapped")</f>
        <v>Project Management</v>
      </c>
      <c r="I72" s="21" t="s">
        <v>720</v>
      </c>
      <c r="J72" s="45">
        <v>96500</v>
      </c>
      <c r="K72" s="58">
        <f>IFERROR(INDEX(Inputs!$H$6:$H$53,MATCH(M72,Inputs!$F$6:$F$53,0)),Inputs!$B$6)</f>
        <v>15062</v>
      </c>
      <c r="L72" s="35">
        <f t="shared" si="4"/>
        <v>6.4068516797238084</v>
      </c>
      <c r="M72" s="61">
        <f t="shared" si="5"/>
        <v>44986</v>
      </c>
      <c r="N72" s="24" t="str">
        <f>IF(D72&lt;&gt;"Cash Movements","Manual",IF(COUNTIF(Bank_IDR!$J$8:$J$71,E72)+COUNTIF(Bank_USD!$J$8:$J$60,E72)&gt;0,"Matched","Unmatched"))</f>
        <v>Manual</v>
      </c>
      <c r="O72" s="6" t="s">
        <v>721</v>
      </c>
      <c r="P72" s="50" t="s">
        <v>863</v>
      </c>
      <c r="Q72" s="6">
        <v>67</v>
      </c>
    </row>
    <row r="73" spans="1:17">
      <c r="A73" s="6" t="s">
        <v>864</v>
      </c>
      <c r="B73" s="9">
        <v>44998</v>
      </c>
      <c r="C73" s="6" t="s">
        <v>717</v>
      </c>
      <c r="D73" s="6" t="s">
        <v>718</v>
      </c>
      <c r="E73" s="6" t="s">
        <v>856</v>
      </c>
      <c r="F73" s="6" t="s">
        <v>500</v>
      </c>
      <c r="G73" s="6" t="s">
        <v>414</v>
      </c>
      <c r="H73" s="24" t="str">
        <f>IFERROR(INDEX(Inputs!$K$6:$K$24,MATCH(G73,Inputs!$J$6:$J$24,0)),"Unmapped")</f>
        <v>Project Management</v>
      </c>
      <c r="I73" s="21" t="s">
        <v>720</v>
      </c>
      <c r="J73" s="45">
        <v>147400</v>
      </c>
      <c r="K73" s="58">
        <f>IFERROR(INDEX(Inputs!$H$6:$H$53,MATCH(M73,Inputs!$F$6:$F$53,0)),Inputs!$B$6)</f>
        <v>15062</v>
      </c>
      <c r="L73" s="35">
        <f t="shared" si="4"/>
        <v>9.7862169698579198</v>
      </c>
      <c r="M73" s="61">
        <f t="shared" si="5"/>
        <v>44986</v>
      </c>
      <c r="N73" s="24" t="str">
        <f>IF(D73&lt;&gt;"Cash Movements","Manual",IF(COUNTIF(Bank_IDR!$J$8:$J$71,E73)+COUNTIF(Bank_USD!$J$8:$J$60,E73)&gt;0,"Matched","Unmatched"))</f>
        <v>Manual</v>
      </c>
      <c r="O73" s="6" t="s">
        <v>721</v>
      </c>
      <c r="P73" s="50" t="s">
        <v>865</v>
      </c>
      <c r="Q73" s="6">
        <v>68</v>
      </c>
    </row>
    <row r="74" spans="1:17">
      <c r="A74" s="6" t="s">
        <v>866</v>
      </c>
      <c r="B74" s="9">
        <v>45001</v>
      </c>
      <c r="C74" s="6" t="s">
        <v>795</v>
      </c>
      <c r="D74" s="6" t="s">
        <v>718</v>
      </c>
      <c r="E74" s="6" t="s">
        <v>867</v>
      </c>
      <c r="F74" s="6" t="s">
        <v>498</v>
      </c>
      <c r="G74" s="6" t="s">
        <v>301</v>
      </c>
      <c r="H74" s="24" t="str">
        <f>IFERROR(INDEX(Inputs!$K$6:$K$24,MATCH(G74,Inputs!$J$6:$J$24,0)),"Unmapped")</f>
        <v>Architect Cost</v>
      </c>
      <c r="I74" s="21" t="s">
        <v>720</v>
      </c>
      <c r="J74" s="45">
        <v>105218100</v>
      </c>
      <c r="K74" s="58">
        <f>IFERROR(INDEX(Inputs!$H$6:$H$53,MATCH(M74,Inputs!$F$6:$F$53,0)),Inputs!$B$6)</f>
        <v>15062</v>
      </c>
      <c r="L74" s="35">
        <f t="shared" si="4"/>
        <v>6985.6659142212193</v>
      </c>
      <c r="M74" s="61">
        <f t="shared" si="5"/>
        <v>44986</v>
      </c>
      <c r="N74" s="24" t="str">
        <f>IF(D74&lt;&gt;"Cash Movements","Manual",IF(COUNTIF(Bank_IDR!$J$8:$J$71,E74)+COUNTIF(Bank_USD!$J$8:$J$60,E74)&gt;0,"Matched","Unmatched"))</f>
        <v>Manual</v>
      </c>
      <c r="O74" s="6" t="s">
        <v>721</v>
      </c>
      <c r="P74" s="50" t="s">
        <v>868</v>
      </c>
      <c r="Q74" s="6">
        <v>69</v>
      </c>
    </row>
    <row r="75" spans="1:17">
      <c r="A75" s="6" t="s">
        <v>869</v>
      </c>
      <c r="B75" s="9">
        <v>45001</v>
      </c>
      <c r="C75" s="6" t="s">
        <v>795</v>
      </c>
      <c r="D75" s="6" t="s">
        <v>718</v>
      </c>
      <c r="E75" s="6" t="s">
        <v>867</v>
      </c>
      <c r="F75" s="6" t="s">
        <v>498</v>
      </c>
      <c r="G75" s="6" t="s">
        <v>301</v>
      </c>
      <c r="H75" s="24" t="str">
        <f>IFERROR(INDEX(Inputs!$K$6:$K$24,MATCH(G75,Inputs!$J$6:$J$24,0)),"Unmapped")</f>
        <v>Architect Cost</v>
      </c>
      <c r="I75" s="21" t="s">
        <v>720</v>
      </c>
      <c r="J75" s="45">
        <v>-5687469</v>
      </c>
      <c r="K75" s="58">
        <f>IFERROR(INDEX(Inputs!$H$6:$H$53,MATCH(M75,Inputs!$F$6:$F$53,0)),Inputs!$B$6)</f>
        <v>15062</v>
      </c>
      <c r="L75" s="35">
        <f t="shared" si="4"/>
        <v>-377.60383747178332</v>
      </c>
      <c r="M75" s="61">
        <f t="shared" si="5"/>
        <v>44986</v>
      </c>
      <c r="N75" s="24" t="str">
        <f>IF(D75&lt;&gt;"Cash Movements","Manual",IF(COUNTIF(Bank_IDR!$J$8:$J$71,E75)+COUNTIF(Bank_USD!$J$8:$J$60,E75)&gt;0,"Matched","Unmatched"))</f>
        <v>Manual</v>
      </c>
      <c r="O75" s="6" t="s">
        <v>797</v>
      </c>
      <c r="P75" s="50" t="s">
        <v>870</v>
      </c>
      <c r="Q75" s="6">
        <v>70</v>
      </c>
    </row>
    <row r="76" spans="1:17" ht="24">
      <c r="A76" s="6" t="s">
        <v>871</v>
      </c>
      <c r="B76" s="9">
        <v>45001</v>
      </c>
      <c r="C76" s="6" t="s">
        <v>795</v>
      </c>
      <c r="D76" s="6" t="s">
        <v>718</v>
      </c>
      <c r="E76" s="6" t="s">
        <v>867</v>
      </c>
      <c r="F76" s="6" t="s">
        <v>498</v>
      </c>
      <c r="G76" s="6" t="s">
        <v>301</v>
      </c>
      <c r="H76" s="24" t="str">
        <f>IFERROR(INDEX(Inputs!$K$6:$K$24,MATCH(G76,Inputs!$J$6:$J$24,0)),"Unmapped")</f>
        <v>Architect Cost</v>
      </c>
      <c r="I76" s="21" t="s">
        <v>720</v>
      </c>
      <c r="J76" s="45">
        <v>100887400</v>
      </c>
      <c r="K76" s="58">
        <f>IFERROR(INDEX(Inputs!$H$6:$H$53,MATCH(M76,Inputs!$F$6:$F$53,0)),Inputs!$B$6)</f>
        <v>15062</v>
      </c>
      <c r="L76" s="35">
        <f t="shared" si="4"/>
        <v>6698.1410171291991</v>
      </c>
      <c r="M76" s="61">
        <f t="shared" si="5"/>
        <v>44986</v>
      </c>
      <c r="N76" s="24" t="str">
        <f>IF(D76&lt;&gt;"Cash Movements","Manual",IF(COUNTIF(Bank_IDR!$J$8:$J$71,E76)+COUNTIF(Bank_USD!$J$8:$J$60,E76)&gt;0,"Matched","Unmatched"))</f>
        <v>Manual</v>
      </c>
      <c r="O76" s="6" t="s">
        <v>721</v>
      </c>
      <c r="P76" s="50" t="s">
        <v>872</v>
      </c>
      <c r="Q76" s="6">
        <v>71</v>
      </c>
    </row>
    <row r="77" spans="1:17">
      <c r="A77" s="6" t="s">
        <v>873</v>
      </c>
      <c r="B77" s="9">
        <v>45001</v>
      </c>
      <c r="C77" s="6" t="s">
        <v>795</v>
      </c>
      <c r="D77" s="6" t="s">
        <v>718</v>
      </c>
      <c r="E77" s="6" t="s">
        <v>867</v>
      </c>
      <c r="F77" s="6" t="s">
        <v>498</v>
      </c>
      <c r="G77" s="6" t="s">
        <v>301</v>
      </c>
      <c r="H77" s="24" t="str">
        <f>IFERROR(INDEX(Inputs!$K$6:$K$24,MATCH(G77,Inputs!$J$6:$J$24,0)),"Unmapped")</f>
        <v>Architect Cost</v>
      </c>
      <c r="I77" s="21" t="s">
        <v>720</v>
      </c>
      <c r="J77" s="45">
        <v>-5453379</v>
      </c>
      <c r="K77" s="58">
        <f>IFERROR(INDEX(Inputs!$H$6:$H$53,MATCH(M77,Inputs!$F$6:$F$53,0)),Inputs!$B$6)</f>
        <v>15062</v>
      </c>
      <c r="L77" s="35">
        <f t="shared" si="4"/>
        <v>-362.06207674943568</v>
      </c>
      <c r="M77" s="61">
        <f t="shared" si="5"/>
        <v>44986</v>
      </c>
      <c r="N77" s="24" t="str">
        <f>IF(D77&lt;&gt;"Cash Movements","Manual",IF(COUNTIF(Bank_IDR!$J$8:$J$71,E77)+COUNTIF(Bank_USD!$J$8:$J$60,E77)&gt;0,"Matched","Unmatched"))</f>
        <v>Manual</v>
      </c>
      <c r="O77" s="6" t="s">
        <v>797</v>
      </c>
      <c r="P77" s="50" t="s">
        <v>874</v>
      </c>
      <c r="Q77" s="6">
        <v>72</v>
      </c>
    </row>
    <row r="78" spans="1:17">
      <c r="A78" s="6" t="s">
        <v>875</v>
      </c>
      <c r="B78" s="9">
        <v>45001</v>
      </c>
      <c r="C78" s="6" t="s">
        <v>795</v>
      </c>
      <c r="D78" s="6" t="s">
        <v>718</v>
      </c>
      <c r="E78" s="6" t="s">
        <v>867</v>
      </c>
      <c r="F78" s="6" t="s">
        <v>498</v>
      </c>
      <c r="G78" s="6" t="s">
        <v>301</v>
      </c>
      <c r="H78" s="24" t="str">
        <f>IFERROR(INDEX(Inputs!$K$6:$K$24,MATCH(G78,Inputs!$J$6:$J$24,0)),"Unmapped")</f>
        <v>Architect Cost</v>
      </c>
      <c r="I78" s="21" t="s">
        <v>720</v>
      </c>
      <c r="J78" s="45">
        <v>-22504627</v>
      </c>
      <c r="K78" s="58">
        <f>IFERROR(INDEX(Inputs!$H$6:$H$53,MATCH(M78,Inputs!$F$6:$F$53,0)),Inputs!$B$6)</f>
        <v>15062</v>
      </c>
      <c r="L78" s="35">
        <f t="shared" si="4"/>
        <v>-1494.1327180985261</v>
      </c>
      <c r="M78" s="61">
        <f t="shared" si="5"/>
        <v>44986</v>
      </c>
      <c r="N78" s="24" t="str">
        <f>IF(D78&lt;&gt;"Cash Movements","Manual",IF(COUNTIF(Bank_IDR!$J$8:$J$71,E78)+COUNTIF(Bank_USD!$J$8:$J$60,E78)&gt;0,"Matched","Unmatched"))</f>
        <v>Manual</v>
      </c>
      <c r="O78" s="6" t="s">
        <v>797</v>
      </c>
      <c r="P78" s="50" t="s">
        <v>876</v>
      </c>
      <c r="Q78" s="6">
        <v>73</v>
      </c>
    </row>
    <row r="79" spans="1:17" ht="24">
      <c r="A79" s="6" t="s">
        <v>877</v>
      </c>
      <c r="B79" s="9">
        <v>45001</v>
      </c>
      <c r="C79" s="6" t="s">
        <v>795</v>
      </c>
      <c r="D79" s="6" t="s">
        <v>718</v>
      </c>
      <c r="E79" s="6" t="s">
        <v>878</v>
      </c>
      <c r="F79" s="6" t="s">
        <v>498</v>
      </c>
      <c r="G79" s="6" t="s">
        <v>301</v>
      </c>
      <c r="H79" s="24" t="str">
        <f>IFERROR(INDEX(Inputs!$K$6:$K$24,MATCH(G79,Inputs!$J$6:$J$24,0)),"Unmapped")</f>
        <v>Architect Cost</v>
      </c>
      <c r="I79" s="21" t="s">
        <v>720</v>
      </c>
      <c r="J79" s="45">
        <v>152204900</v>
      </c>
      <c r="K79" s="58">
        <f>IFERROR(INDEX(Inputs!$H$6:$H$53,MATCH(M79,Inputs!$F$6:$F$53,0)),Inputs!$B$6)</f>
        <v>15062</v>
      </c>
      <c r="L79" s="35">
        <f t="shared" si="4"/>
        <v>10105.225069711858</v>
      </c>
      <c r="M79" s="61">
        <f t="shared" si="5"/>
        <v>44986</v>
      </c>
      <c r="N79" s="24" t="str">
        <f>IF(D79&lt;&gt;"Cash Movements","Manual",IF(COUNTIF(Bank_IDR!$J$8:$J$71,E79)+COUNTIF(Bank_USD!$J$8:$J$60,E79)&gt;0,"Matched","Unmatched"))</f>
        <v>Manual</v>
      </c>
      <c r="O79" s="6" t="s">
        <v>721</v>
      </c>
      <c r="P79" s="50" t="s">
        <v>879</v>
      </c>
      <c r="Q79" s="6">
        <v>74</v>
      </c>
    </row>
    <row r="80" spans="1:17" ht="24">
      <c r="A80" s="6" t="s">
        <v>880</v>
      </c>
      <c r="B80" s="9">
        <v>45001</v>
      </c>
      <c r="C80" s="6" t="s">
        <v>795</v>
      </c>
      <c r="D80" s="6" t="s">
        <v>718</v>
      </c>
      <c r="E80" s="6" t="s">
        <v>878</v>
      </c>
      <c r="F80" s="6" t="s">
        <v>498</v>
      </c>
      <c r="G80" s="6" t="s">
        <v>301</v>
      </c>
      <c r="H80" s="24" t="str">
        <f>IFERROR(INDEX(Inputs!$K$6:$K$24,MATCH(G80,Inputs!$J$6:$J$24,0)),"Unmapped")</f>
        <v>Architect Cost</v>
      </c>
      <c r="I80" s="21" t="s">
        <v>720</v>
      </c>
      <c r="J80" s="45">
        <v>-8227293</v>
      </c>
      <c r="K80" s="58">
        <f>IFERROR(INDEX(Inputs!$H$6:$H$53,MATCH(M80,Inputs!$F$6:$F$53,0)),Inputs!$B$6)</f>
        <v>15062</v>
      </c>
      <c r="L80" s="35">
        <f t="shared" si="4"/>
        <v>-546.22845571637231</v>
      </c>
      <c r="M80" s="61">
        <f t="shared" si="5"/>
        <v>44986</v>
      </c>
      <c r="N80" s="24" t="str">
        <f>IF(D80&lt;&gt;"Cash Movements","Manual",IF(COUNTIF(Bank_IDR!$J$8:$J$71,E80)+COUNTIF(Bank_USD!$J$8:$J$60,E80)&gt;0,"Matched","Unmatched"))</f>
        <v>Manual</v>
      </c>
      <c r="O80" s="6" t="s">
        <v>797</v>
      </c>
      <c r="P80" s="50" t="s">
        <v>881</v>
      </c>
      <c r="Q80" s="6">
        <v>75</v>
      </c>
    </row>
    <row r="81" spans="1:17" ht="24">
      <c r="A81" s="6" t="s">
        <v>882</v>
      </c>
      <c r="B81" s="9">
        <v>45001.463888888888</v>
      </c>
      <c r="C81" s="6" t="s">
        <v>795</v>
      </c>
      <c r="D81" s="6" t="s">
        <v>796</v>
      </c>
      <c r="E81" s="6" t="s">
        <v>585</v>
      </c>
      <c r="F81" s="6" t="s">
        <v>498</v>
      </c>
      <c r="G81" s="6" t="s">
        <v>301</v>
      </c>
      <c r="H81" s="24" t="str">
        <f>IFERROR(INDEX(Inputs!$K$6:$K$24,MATCH(G81,Inputs!$J$6:$J$24,0)),"Unmapped")</f>
        <v>Architect Cost</v>
      </c>
      <c r="I81" s="21" t="s">
        <v>720</v>
      </c>
      <c r="J81" s="45">
        <v>2900</v>
      </c>
      <c r="K81" s="58">
        <f>IFERROR(INDEX(Inputs!$H$6:$H$53,MATCH(M81,Inputs!$F$6:$F$53,0)),Inputs!$B$6)</f>
        <v>15062</v>
      </c>
      <c r="L81" s="35">
        <f t="shared" si="4"/>
        <v>0.19253751161864294</v>
      </c>
      <c r="M81" s="61">
        <f t="shared" si="5"/>
        <v>44986</v>
      </c>
      <c r="N81" s="24" t="str">
        <f>IF(D81&lt;&gt;"Cash Movements","Manual",IF(COUNTIF(Bank_IDR!$J$8:$J$71,E81)+COUNTIF(Bank_USD!$J$8:$J$60,E81)&gt;0,"Matched","Unmatched"))</f>
        <v>Matched</v>
      </c>
      <c r="O81" s="6" t="s">
        <v>797</v>
      </c>
      <c r="P81" s="50" t="s">
        <v>584</v>
      </c>
      <c r="Q81" s="6">
        <v>76</v>
      </c>
    </row>
    <row r="82" spans="1:17" ht="24">
      <c r="A82" s="6" t="s">
        <v>883</v>
      </c>
      <c r="B82" s="9">
        <v>45001.463888888888</v>
      </c>
      <c r="C82" s="6" t="s">
        <v>795</v>
      </c>
      <c r="D82" s="6" t="s">
        <v>796</v>
      </c>
      <c r="E82" s="6" t="s">
        <v>585</v>
      </c>
      <c r="F82" s="6" t="s">
        <v>498</v>
      </c>
      <c r="G82" s="6" t="s">
        <v>301</v>
      </c>
      <c r="H82" s="24" t="str">
        <f>IFERROR(INDEX(Inputs!$K$6:$K$24,MATCH(G82,Inputs!$J$6:$J$24,0)),"Unmapped")</f>
        <v>Architect Cost</v>
      </c>
      <c r="I82" s="21" t="s">
        <v>720</v>
      </c>
      <c r="J82" s="45">
        <v>143977607</v>
      </c>
      <c r="K82" s="58">
        <f>IFERROR(INDEX(Inputs!$H$6:$H$53,MATCH(M82,Inputs!$F$6:$F$53,0)),Inputs!$B$6)</f>
        <v>15062</v>
      </c>
      <c r="L82" s="35">
        <f t="shared" si="4"/>
        <v>9558.9966139954849</v>
      </c>
      <c r="M82" s="61">
        <f t="shared" si="5"/>
        <v>44986</v>
      </c>
      <c r="N82" s="24" t="str">
        <f>IF(D82&lt;&gt;"Cash Movements","Manual",IF(COUNTIF(Bank_IDR!$J$8:$J$71,E82)+COUNTIF(Bank_USD!$J$8:$J$60,E82)&gt;0,"Matched","Unmatched"))</f>
        <v>Matched</v>
      </c>
      <c r="O82" s="6" t="s">
        <v>797</v>
      </c>
      <c r="P82" s="50" t="s">
        <v>584</v>
      </c>
      <c r="Q82" s="6">
        <v>77</v>
      </c>
    </row>
    <row r="83" spans="1:17">
      <c r="A83" s="6" t="s">
        <v>884</v>
      </c>
      <c r="B83" s="9">
        <v>45005.999305555553</v>
      </c>
      <c r="C83" s="6" t="s">
        <v>795</v>
      </c>
      <c r="D83" s="6" t="s">
        <v>796</v>
      </c>
      <c r="E83" s="6" t="s">
        <v>586</v>
      </c>
      <c r="F83" s="6" t="s">
        <v>506</v>
      </c>
      <c r="G83" s="6" t="s">
        <v>360</v>
      </c>
      <c r="H83" s="24" t="str">
        <f>IFERROR(INDEX(Inputs!$K$6:$K$24,MATCH(G83,Inputs!$J$6:$J$24,0)),"Unmapped")</f>
        <v>Miscellaneous</v>
      </c>
      <c r="I83" s="21" t="s">
        <v>720</v>
      </c>
      <c r="J83" s="45">
        <v>30000</v>
      </c>
      <c r="K83" s="58">
        <f>IFERROR(INDEX(Inputs!$H$6:$H$53,MATCH(M83,Inputs!$F$6:$F$53,0)),Inputs!$B$6)</f>
        <v>15062</v>
      </c>
      <c r="L83" s="35">
        <f t="shared" si="4"/>
        <v>1.9917673615721683</v>
      </c>
      <c r="M83" s="61">
        <f t="shared" si="5"/>
        <v>44986</v>
      </c>
      <c r="N83" s="24" t="str">
        <f>IF(D83&lt;&gt;"Cash Movements","Manual",IF(COUNTIF(Bank_IDR!$J$8:$J$71,E83)+COUNTIF(Bank_USD!$J$8:$J$60,E83)&gt;0,"Matched","Unmatched"))</f>
        <v>Matched</v>
      </c>
      <c r="O83" s="6" t="s">
        <v>797</v>
      </c>
      <c r="P83" s="50"/>
      <c r="Q83" s="6">
        <v>78</v>
      </c>
    </row>
    <row r="84" spans="1:17">
      <c r="A84" s="6" t="s">
        <v>885</v>
      </c>
      <c r="B84" s="9">
        <v>45005.999305555553</v>
      </c>
      <c r="C84" s="6" t="s">
        <v>795</v>
      </c>
      <c r="D84" s="6" t="s">
        <v>796</v>
      </c>
      <c r="E84" s="6" t="s">
        <v>658</v>
      </c>
      <c r="F84" s="6" t="s">
        <v>506</v>
      </c>
      <c r="G84" s="6" t="s">
        <v>360</v>
      </c>
      <c r="H84" s="24" t="str">
        <f>IFERROR(INDEX(Inputs!$K$6:$K$24,MATCH(G84,Inputs!$J$6:$J$24,0)),"Unmapped")</f>
        <v>Miscellaneous</v>
      </c>
      <c r="I84" s="21" t="s">
        <v>720</v>
      </c>
      <c r="J84" s="45">
        <v>75310</v>
      </c>
      <c r="K84" s="58">
        <f>IFERROR(INDEX(Inputs!$H$6:$H$53,MATCH(M84,Inputs!$F$6:$F$53,0)),Inputs!$B$6)</f>
        <v>15062</v>
      </c>
      <c r="L84" s="35">
        <f t="shared" si="4"/>
        <v>5</v>
      </c>
      <c r="M84" s="61">
        <f t="shared" si="5"/>
        <v>44986</v>
      </c>
      <c r="N84" s="24" t="str">
        <f>IF(D84&lt;&gt;"Cash Movements","Manual",IF(COUNTIF(Bank_IDR!$J$8:$J$71,E84)+COUNTIF(Bank_USD!$J$8:$J$60,E84)&gt;0,"Matched","Unmatched"))</f>
        <v>Matched</v>
      </c>
      <c r="O84" s="6" t="s">
        <v>797</v>
      </c>
      <c r="P84" s="50"/>
      <c r="Q84" s="6">
        <v>79</v>
      </c>
    </row>
    <row r="85" spans="1:17" ht="24">
      <c r="A85" s="6" t="s">
        <v>886</v>
      </c>
      <c r="B85" s="9">
        <v>45013</v>
      </c>
      <c r="C85" s="6" t="s">
        <v>717</v>
      </c>
      <c r="D85" s="6" t="s">
        <v>718</v>
      </c>
      <c r="E85" s="6" t="s">
        <v>887</v>
      </c>
      <c r="F85" s="6" t="s">
        <v>484</v>
      </c>
      <c r="G85" s="6" t="s">
        <v>400</v>
      </c>
      <c r="H85" s="24" t="str">
        <f>IFERROR(INDEX(Inputs!$K$6:$K$24,MATCH(G85,Inputs!$J$6:$J$24,0)),"Unmapped")</f>
        <v>Interior Designer</v>
      </c>
      <c r="I85" s="21" t="s">
        <v>720</v>
      </c>
      <c r="J85" s="45">
        <v>103222264.2105263</v>
      </c>
      <c r="K85" s="58">
        <f>IFERROR(INDEX(Inputs!$H$6:$H$53,MATCH(M85,Inputs!$F$6:$F$53,0)),Inputs!$B$6)</f>
        <v>15062</v>
      </c>
      <c r="L85" s="35">
        <f t="shared" si="4"/>
        <v>6853.1578947368416</v>
      </c>
      <c r="M85" s="61">
        <f t="shared" si="5"/>
        <v>44986</v>
      </c>
      <c r="N85" s="24" t="str">
        <f>IF(D85&lt;&gt;"Cash Movements","Manual",IF(COUNTIF(Bank_IDR!$J$8:$J$71,E85)+COUNTIF(Bank_USD!$J$8:$J$60,E85)&gt;0,"Matched","Unmatched"))</f>
        <v>Manual</v>
      </c>
      <c r="O85" s="6" t="s">
        <v>721</v>
      </c>
      <c r="P85" s="50" t="s">
        <v>888</v>
      </c>
      <c r="Q85" s="6">
        <v>80</v>
      </c>
    </row>
    <row r="86" spans="1:17">
      <c r="A86" s="6" t="s">
        <v>889</v>
      </c>
      <c r="B86" s="9">
        <v>45013</v>
      </c>
      <c r="C86" s="6" t="s">
        <v>717</v>
      </c>
      <c r="D86" s="6" t="s">
        <v>718</v>
      </c>
      <c r="E86" s="6" t="s">
        <v>887</v>
      </c>
      <c r="F86" s="6" t="s">
        <v>484</v>
      </c>
      <c r="G86" s="6" t="s">
        <v>400</v>
      </c>
      <c r="H86" s="24" t="str">
        <f>IFERROR(INDEX(Inputs!$K$6:$K$24,MATCH(G86,Inputs!$J$6:$J$24,0)),"Unmapped")</f>
        <v>Interior Designer</v>
      </c>
      <c r="I86" s="21" t="s">
        <v>720</v>
      </c>
      <c r="J86" s="45">
        <v>267552251.52631587</v>
      </c>
      <c r="K86" s="58">
        <f>IFERROR(INDEX(Inputs!$H$6:$H$53,MATCH(M86,Inputs!$F$6:$F$53,0)),Inputs!$B$6)</f>
        <v>15062</v>
      </c>
      <c r="L86" s="35">
        <f t="shared" si="4"/>
        <v>17763.39473684211</v>
      </c>
      <c r="M86" s="61">
        <f t="shared" si="5"/>
        <v>44986</v>
      </c>
      <c r="N86" s="24" t="str">
        <f>IF(D86&lt;&gt;"Cash Movements","Manual",IF(COUNTIF(Bank_IDR!$J$8:$J$71,E86)+COUNTIF(Bank_USD!$J$8:$J$60,E86)&gt;0,"Matched","Unmatched"))</f>
        <v>Manual</v>
      </c>
      <c r="O86" s="6" t="s">
        <v>721</v>
      </c>
      <c r="P86" s="50" t="s">
        <v>890</v>
      </c>
      <c r="Q86" s="6">
        <v>81</v>
      </c>
    </row>
    <row r="87" spans="1:17" ht="24">
      <c r="A87" s="6" t="s">
        <v>891</v>
      </c>
      <c r="B87" s="9">
        <v>45015</v>
      </c>
      <c r="C87" s="6" t="s">
        <v>717</v>
      </c>
      <c r="D87" s="6" t="s">
        <v>718</v>
      </c>
      <c r="E87" s="6" t="s">
        <v>892</v>
      </c>
      <c r="F87" s="6" t="s">
        <v>434</v>
      </c>
      <c r="G87" s="6" t="s">
        <v>434</v>
      </c>
      <c r="H87" s="24" t="str">
        <f>IFERROR(INDEX(Inputs!$K$6:$K$24,MATCH(G87,Inputs!$J$6:$J$24,0)),"Unmapped")</f>
        <v>Sales VAT</v>
      </c>
      <c r="I87" s="21" t="s">
        <v>720</v>
      </c>
      <c r="J87" s="45">
        <v>661328000</v>
      </c>
      <c r="K87" s="58">
        <f>IFERROR(INDEX(Inputs!$H$6:$H$53,MATCH(M87,Inputs!$F$6:$F$53,0)),Inputs!$B$6)</f>
        <v>15062</v>
      </c>
      <c r="L87" s="35">
        <f t="shared" si="4"/>
        <v>43907.050856459966</v>
      </c>
      <c r="M87" s="61">
        <f t="shared" si="5"/>
        <v>44986</v>
      </c>
      <c r="N87" s="24" t="str">
        <f>IF(D87&lt;&gt;"Cash Movements","Manual",IF(COUNTIF(Bank_IDR!$J$8:$J$71,E87)+COUNTIF(Bank_USD!$J$8:$J$60,E87)&gt;0,"Matched","Unmatched"))</f>
        <v>Manual</v>
      </c>
      <c r="O87" s="6" t="s">
        <v>797</v>
      </c>
      <c r="P87" s="50" t="s">
        <v>893</v>
      </c>
      <c r="Q87" s="6">
        <v>82</v>
      </c>
    </row>
    <row r="88" spans="1:17">
      <c r="A88" s="6" t="s">
        <v>894</v>
      </c>
      <c r="B88" s="9">
        <v>45017</v>
      </c>
      <c r="C88" s="6" t="s">
        <v>799</v>
      </c>
      <c r="D88" s="6" t="s">
        <v>799</v>
      </c>
      <c r="E88" s="6"/>
      <c r="F88" s="6" t="s">
        <v>533</v>
      </c>
      <c r="G88" s="6" t="s">
        <v>335</v>
      </c>
      <c r="H88" s="24" t="str">
        <f>IFERROR(INDEX(Inputs!$K$6:$K$24,MATCH(G88,Inputs!$J$6:$J$24,0)),"Unmapped")</f>
        <v>A&amp;G Allocation</v>
      </c>
      <c r="I88" s="21" t="s">
        <v>720</v>
      </c>
      <c r="J88" s="45">
        <v>412500000</v>
      </c>
      <c r="K88" s="58">
        <f>IFERROR(INDEX(Inputs!$H$6:$H$53,MATCH(M88,Inputs!$F$6:$F$53,0)),Inputs!$B$6)</f>
        <v>15000</v>
      </c>
      <c r="L88" s="35">
        <f t="shared" si="4"/>
        <v>27500</v>
      </c>
      <c r="M88" s="61">
        <f t="shared" si="5"/>
        <v>45017</v>
      </c>
      <c r="N88" s="24" t="str">
        <f>IF(D88&lt;&gt;"Cash Movements","Manual",IF(COUNTIF(Bank_IDR!$J$8:$J$71,E88)+COUNTIF(Bank_USD!$J$8:$J$60,E88)&gt;0,"Matched","Unmatched"))</f>
        <v>Manual</v>
      </c>
      <c r="O88" s="6" t="s">
        <v>797</v>
      </c>
      <c r="P88" s="50" t="s">
        <v>895</v>
      </c>
      <c r="Q88" s="6">
        <v>83</v>
      </c>
    </row>
    <row r="89" spans="1:17">
      <c r="A89" s="6" t="s">
        <v>896</v>
      </c>
      <c r="B89" s="9">
        <v>45030.352083333331</v>
      </c>
      <c r="C89" s="6" t="s">
        <v>795</v>
      </c>
      <c r="D89" s="6" t="s">
        <v>796</v>
      </c>
      <c r="E89" s="6" t="s">
        <v>590</v>
      </c>
      <c r="F89" s="6" t="s">
        <v>494</v>
      </c>
      <c r="G89" s="6" t="s">
        <v>312</v>
      </c>
      <c r="H89" s="24" t="str">
        <f>IFERROR(INDEX(Inputs!$K$6:$K$24,MATCH(G89,Inputs!$J$6:$J$24,0)),"Unmapped")</f>
        <v>MEP Consultant</v>
      </c>
      <c r="I89" s="21" t="s">
        <v>720</v>
      </c>
      <c r="J89" s="45">
        <v>41656250</v>
      </c>
      <c r="K89" s="58">
        <f>IFERROR(INDEX(Inputs!$H$6:$H$53,MATCH(M89,Inputs!$F$6:$F$53,0)),Inputs!$B$6)</f>
        <v>15000</v>
      </c>
      <c r="L89" s="35">
        <f t="shared" si="4"/>
        <v>2777.0833333333335</v>
      </c>
      <c r="M89" s="61">
        <f t="shared" si="5"/>
        <v>45017</v>
      </c>
      <c r="N89" s="24" t="str">
        <f>IF(D89&lt;&gt;"Cash Movements","Manual",IF(COUNTIF(Bank_IDR!$J$8:$J$71,E89)+COUNTIF(Bank_USD!$J$8:$J$60,E89)&gt;0,"Matched","Unmatched"))</f>
        <v>Matched</v>
      </c>
      <c r="O89" s="6" t="s">
        <v>721</v>
      </c>
      <c r="P89" s="50"/>
      <c r="Q89" s="6">
        <v>84</v>
      </c>
    </row>
    <row r="90" spans="1:17">
      <c r="A90" s="6" t="s">
        <v>897</v>
      </c>
      <c r="B90" s="9">
        <v>45030.352083333331</v>
      </c>
      <c r="C90" s="6" t="s">
        <v>795</v>
      </c>
      <c r="D90" s="6" t="s">
        <v>796</v>
      </c>
      <c r="E90" s="6" t="s">
        <v>590</v>
      </c>
      <c r="F90" s="6" t="s">
        <v>494</v>
      </c>
      <c r="G90" s="6" t="s">
        <v>312</v>
      </c>
      <c r="H90" s="24" t="str">
        <f>IFERROR(INDEX(Inputs!$K$6:$K$24,MATCH(G90,Inputs!$J$6:$J$24,0)),"Unmapped")</f>
        <v>MEP Consultant</v>
      </c>
      <c r="I90" s="21" t="s">
        <v>720</v>
      </c>
      <c r="J90" s="45">
        <v>2900</v>
      </c>
      <c r="K90" s="58">
        <f>IFERROR(INDEX(Inputs!$H$6:$H$53,MATCH(M90,Inputs!$F$6:$F$53,0)),Inputs!$B$6)</f>
        <v>15000</v>
      </c>
      <c r="L90" s="35">
        <f t="shared" si="4"/>
        <v>0.19333333333333333</v>
      </c>
      <c r="M90" s="61">
        <f t="shared" si="5"/>
        <v>45017</v>
      </c>
      <c r="N90" s="24" t="str">
        <f>IF(D90&lt;&gt;"Cash Movements","Manual",IF(COUNTIF(Bank_IDR!$J$8:$J$71,E90)+COUNTIF(Bank_USD!$J$8:$J$60,E90)&gt;0,"Matched","Unmatched"))</f>
        <v>Matched</v>
      </c>
      <c r="O90" s="6" t="s">
        <v>721</v>
      </c>
      <c r="P90" s="50"/>
      <c r="Q90" s="6">
        <v>85</v>
      </c>
    </row>
    <row r="91" spans="1:17">
      <c r="A91" s="6" t="s">
        <v>898</v>
      </c>
      <c r="B91" s="9">
        <v>45034</v>
      </c>
      <c r="C91" s="6" t="s">
        <v>717</v>
      </c>
      <c r="D91" s="6" t="s">
        <v>718</v>
      </c>
      <c r="E91" s="6" t="s">
        <v>899</v>
      </c>
      <c r="F91" s="6" t="s">
        <v>473</v>
      </c>
      <c r="G91" s="6" t="s">
        <v>310</v>
      </c>
      <c r="H91" s="24" t="str">
        <f>IFERROR(INDEX(Inputs!$K$6:$K$24,MATCH(G91,Inputs!$J$6:$J$24,0)),"Unmapped")</f>
        <v>Structure Engineer</v>
      </c>
      <c r="I91" s="21" t="s">
        <v>720</v>
      </c>
      <c r="J91" s="45">
        <v>22200000</v>
      </c>
      <c r="K91" s="58">
        <f>IFERROR(INDEX(Inputs!$H$6:$H$53,MATCH(M91,Inputs!$F$6:$F$53,0)),Inputs!$B$6)</f>
        <v>15000</v>
      </c>
      <c r="L91" s="35">
        <f t="shared" si="4"/>
        <v>1480</v>
      </c>
      <c r="M91" s="61">
        <f t="shared" si="5"/>
        <v>45017</v>
      </c>
      <c r="N91" s="24" t="str">
        <f>IF(D91&lt;&gt;"Cash Movements","Manual",IF(COUNTIF(Bank_IDR!$J$8:$J$71,E91)+COUNTIF(Bank_USD!$J$8:$J$60,E91)&gt;0,"Matched","Unmatched"))</f>
        <v>Manual</v>
      </c>
      <c r="O91" s="6" t="s">
        <v>721</v>
      </c>
      <c r="P91" s="50" t="s">
        <v>900</v>
      </c>
      <c r="Q91" s="6">
        <v>86</v>
      </c>
    </row>
    <row r="92" spans="1:17">
      <c r="A92" s="6" t="s">
        <v>901</v>
      </c>
      <c r="B92" s="9">
        <v>45034</v>
      </c>
      <c r="C92" s="6" t="s">
        <v>717</v>
      </c>
      <c r="D92" s="6" t="s">
        <v>718</v>
      </c>
      <c r="E92" s="6" t="s">
        <v>899</v>
      </c>
      <c r="F92" s="6" t="s">
        <v>473</v>
      </c>
      <c r="G92" s="6" t="s">
        <v>310</v>
      </c>
      <c r="H92" s="24" t="str">
        <f>IFERROR(INDEX(Inputs!$K$6:$K$24,MATCH(G92,Inputs!$J$6:$J$24,0)),"Unmapped")</f>
        <v>Structure Engineer</v>
      </c>
      <c r="I92" s="21" t="s">
        <v>720</v>
      </c>
      <c r="J92" s="45">
        <v>26400000</v>
      </c>
      <c r="K92" s="58">
        <f>IFERROR(INDEX(Inputs!$H$6:$H$53,MATCH(M92,Inputs!$F$6:$F$53,0)),Inputs!$B$6)</f>
        <v>15000</v>
      </c>
      <c r="L92" s="35">
        <f t="shared" si="4"/>
        <v>1760</v>
      </c>
      <c r="M92" s="61">
        <f t="shared" si="5"/>
        <v>45017</v>
      </c>
      <c r="N92" s="24" t="str">
        <f>IF(D92&lt;&gt;"Cash Movements","Manual",IF(COUNTIF(Bank_IDR!$J$8:$J$71,E92)+COUNTIF(Bank_USD!$J$8:$J$60,E92)&gt;0,"Matched","Unmatched"))</f>
        <v>Manual</v>
      </c>
      <c r="O92" s="6" t="s">
        <v>721</v>
      </c>
      <c r="P92" s="50" t="s">
        <v>902</v>
      </c>
      <c r="Q92" s="6">
        <v>87</v>
      </c>
    </row>
    <row r="93" spans="1:17">
      <c r="A93" s="6" t="s">
        <v>903</v>
      </c>
      <c r="B93" s="9">
        <v>45036.999305555553</v>
      </c>
      <c r="C93" s="6" t="s">
        <v>795</v>
      </c>
      <c r="D93" s="6" t="s">
        <v>796</v>
      </c>
      <c r="E93" s="6" t="s">
        <v>591</v>
      </c>
      <c r="F93" s="6" t="s">
        <v>506</v>
      </c>
      <c r="G93" s="6" t="s">
        <v>360</v>
      </c>
      <c r="H93" s="24" t="str">
        <f>IFERROR(INDEX(Inputs!$K$6:$K$24,MATCH(G93,Inputs!$J$6:$J$24,0)),"Unmapped")</f>
        <v>Miscellaneous</v>
      </c>
      <c r="I93" s="21" t="s">
        <v>720</v>
      </c>
      <c r="J93" s="45">
        <v>30000</v>
      </c>
      <c r="K93" s="58">
        <f>IFERROR(INDEX(Inputs!$H$6:$H$53,MATCH(M93,Inputs!$F$6:$F$53,0)),Inputs!$B$6)</f>
        <v>15000</v>
      </c>
      <c r="L93" s="35">
        <f t="shared" si="4"/>
        <v>2</v>
      </c>
      <c r="M93" s="61">
        <f t="shared" si="5"/>
        <v>45017</v>
      </c>
      <c r="N93" s="24" t="str">
        <f>IF(D93&lt;&gt;"Cash Movements","Manual",IF(COUNTIF(Bank_IDR!$J$8:$J$71,E93)+COUNTIF(Bank_USD!$J$8:$J$60,E93)&gt;0,"Matched","Unmatched"))</f>
        <v>Matched</v>
      </c>
      <c r="O93" s="6" t="s">
        <v>797</v>
      </c>
      <c r="P93" s="50"/>
      <c r="Q93" s="6">
        <v>88</v>
      </c>
    </row>
    <row r="94" spans="1:17">
      <c r="A94" s="6" t="s">
        <v>904</v>
      </c>
      <c r="B94" s="9">
        <v>45036.999305555553</v>
      </c>
      <c r="C94" s="6" t="s">
        <v>795</v>
      </c>
      <c r="D94" s="6" t="s">
        <v>796</v>
      </c>
      <c r="E94" s="6" t="s">
        <v>662</v>
      </c>
      <c r="F94" s="6" t="s">
        <v>506</v>
      </c>
      <c r="G94" s="6" t="s">
        <v>360</v>
      </c>
      <c r="H94" s="24" t="str">
        <f>IFERROR(INDEX(Inputs!$K$6:$K$24,MATCH(G94,Inputs!$J$6:$J$24,0)),"Unmapped")</f>
        <v>Miscellaneous</v>
      </c>
      <c r="I94" s="21" t="s">
        <v>720</v>
      </c>
      <c r="J94" s="45">
        <v>75000</v>
      </c>
      <c r="K94" s="58">
        <f>IFERROR(INDEX(Inputs!$H$6:$H$53,MATCH(M94,Inputs!$F$6:$F$53,0)),Inputs!$B$6)</f>
        <v>15000</v>
      </c>
      <c r="L94" s="35">
        <f t="shared" si="4"/>
        <v>5</v>
      </c>
      <c r="M94" s="61">
        <f t="shared" si="5"/>
        <v>45017</v>
      </c>
      <c r="N94" s="24" t="str">
        <f>IF(D94&lt;&gt;"Cash Movements","Manual",IF(COUNTIF(Bank_IDR!$J$8:$J$71,E94)+COUNTIF(Bank_USD!$J$8:$J$60,E94)&gt;0,"Matched","Unmatched"))</f>
        <v>Matched</v>
      </c>
      <c r="O94" s="6" t="s">
        <v>797</v>
      </c>
      <c r="P94" s="50"/>
      <c r="Q94" s="6">
        <v>89</v>
      </c>
    </row>
    <row r="95" spans="1:17">
      <c r="A95" s="6" t="s">
        <v>905</v>
      </c>
      <c r="B95" s="9">
        <v>45046.999305555553</v>
      </c>
      <c r="C95" s="6" t="s">
        <v>795</v>
      </c>
      <c r="D95" s="6" t="s">
        <v>796</v>
      </c>
      <c r="E95" s="6" t="s">
        <v>663</v>
      </c>
      <c r="F95" s="6" t="s">
        <v>358</v>
      </c>
      <c r="G95" s="6" t="s">
        <v>436</v>
      </c>
      <c r="H95" s="24" t="str">
        <f>IFERROR(INDEX(Inputs!$K$6:$K$24,MATCH(G95,Inputs!$J$6:$J$24,0)),"Unmapped")</f>
        <v>Withholding tax</v>
      </c>
      <c r="I95" s="21" t="s">
        <v>720</v>
      </c>
      <c r="J95" s="45">
        <v>133050</v>
      </c>
      <c r="K95" s="58">
        <f>IFERROR(INDEX(Inputs!$H$6:$H$53,MATCH(M95,Inputs!$F$6:$F$53,0)),Inputs!$B$6)</f>
        <v>15000</v>
      </c>
      <c r="L95" s="35">
        <f t="shared" si="4"/>
        <v>8.8699999999999992</v>
      </c>
      <c r="M95" s="61">
        <f t="shared" si="5"/>
        <v>45017</v>
      </c>
      <c r="N95" s="24" t="str">
        <f>IF(D95&lt;&gt;"Cash Movements","Manual",IF(COUNTIF(Bank_IDR!$J$8:$J$71,E95)+COUNTIF(Bank_USD!$J$8:$J$60,E95)&gt;0,"Matched","Unmatched"))</f>
        <v>Matched</v>
      </c>
      <c r="O95" s="6" t="s">
        <v>797</v>
      </c>
      <c r="P95" s="50"/>
      <c r="Q95" s="6">
        <v>90</v>
      </c>
    </row>
    <row r="96" spans="1:17">
      <c r="A96" s="6" t="s">
        <v>906</v>
      </c>
      <c r="B96" s="9">
        <v>45047</v>
      </c>
      <c r="C96" s="6" t="s">
        <v>799</v>
      </c>
      <c r="D96" s="6" t="s">
        <v>799</v>
      </c>
      <c r="E96" s="6"/>
      <c r="F96" s="6" t="s">
        <v>533</v>
      </c>
      <c r="G96" s="6" t="s">
        <v>335</v>
      </c>
      <c r="H96" s="24" t="str">
        <f>IFERROR(INDEX(Inputs!$K$6:$K$24,MATCH(G96,Inputs!$J$6:$J$24,0)),"Unmapped")</f>
        <v>A&amp;G Allocation</v>
      </c>
      <c r="I96" s="21" t="s">
        <v>720</v>
      </c>
      <c r="J96" s="45">
        <v>412500000</v>
      </c>
      <c r="K96" s="58">
        <f>IFERROR(INDEX(Inputs!$H$6:$H$53,MATCH(M96,Inputs!$F$6:$F$53,0)),Inputs!$B$6)</f>
        <v>15000</v>
      </c>
      <c r="L96" s="35">
        <f t="shared" si="4"/>
        <v>27500</v>
      </c>
      <c r="M96" s="61">
        <f t="shared" si="5"/>
        <v>45047</v>
      </c>
      <c r="N96" s="24" t="str">
        <f>IF(D96&lt;&gt;"Cash Movements","Manual",IF(COUNTIF(Bank_IDR!$J$8:$J$71,E96)+COUNTIF(Bank_USD!$J$8:$J$60,E96)&gt;0,"Matched","Unmatched"))</f>
        <v>Manual</v>
      </c>
      <c r="O96" s="6" t="s">
        <v>797</v>
      </c>
      <c r="P96" s="50" t="s">
        <v>907</v>
      </c>
      <c r="Q96" s="6">
        <v>91</v>
      </c>
    </row>
    <row r="97" spans="1:17">
      <c r="A97" s="6" t="s">
        <v>908</v>
      </c>
      <c r="B97" s="9">
        <v>45049</v>
      </c>
      <c r="C97" s="6" t="s">
        <v>717</v>
      </c>
      <c r="D97" s="6" t="s">
        <v>909</v>
      </c>
      <c r="E97" s="6" t="s">
        <v>910</v>
      </c>
      <c r="F97" s="6" t="s">
        <v>490</v>
      </c>
      <c r="G97" s="6" t="s">
        <v>319</v>
      </c>
      <c r="H97" s="24" t="str">
        <f>IFERROR(INDEX(Inputs!$K$6:$K$24,MATCH(G97,Inputs!$J$6:$J$24,0)),"Unmapped")</f>
        <v>Tax &amp; legal advice</v>
      </c>
      <c r="I97" s="21" t="s">
        <v>720</v>
      </c>
      <c r="J97" s="45">
        <v>53428375</v>
      </c>
      <c r="K97" s="58">
        <f>IFERROR(INDEX(Inputs!$H$6:$H$53,MATCH(M97,Inputs!$F$6:$F$53,0)),Inputs!$B$6)</f>
        <v>15000</v>
      </c>
      <c r="L97" s="35">
        <f t="shared" si="4"/>
        <v>3561.8916666666669</v>
      </c>
      <c r="M97" s="61">
        <f t="shared" si="5"/>
        <v>45047</v>
      </c>
      <c r="N97" s="24" t="str">
        <f>IF(D97&lt;&gt;"Cash Movements","Manual",IF(COUNTIF(Bank_IDR!$J$8:$J$71,E97)+COUNTIF(Bank_USD!$J$8:$J$60,E97)&gt;0,"Matched","Unmatched"))</f>
        <v>Manual</v>
      </c>
      <c r="O97" s="6" t="s">
        <v>721</v>
      </c>
      <c r="P97" s="50"/>
      <c r="Q97" s="6">
        <v>92</v>
      </c>
    </row>
    <row r="98" spans="1:17" ht="24">
      <c r="A98" s="6" t="s">
        <v>911</v>
      </c>
      <c r="B98" s="9">
        <v>45061</v>
      </c>
      <c r="C98" s="6" t="s">
        <v>717</v>
      </c>
      <c r="D98" s="6" t="s">
        <v>718</v>
      </c>
      <c r="E98" s="6" t="s">
        <v>887</v>
      </c>
      <c r="F98" s="6" t="s">
        <v>484</v>
      </c>
      <c r="G98" s="6" t="s">
        <v>400</v>
      </c>
      <c r="H98" s="24" t="str">
        <f>IFERROR(INDEX(Inputs!$K$6:$K$24,MATCH(G98,Inputs!$J$6:$J$24,0)),"Unmapped")</f>
        <v>Interior Designer</v>
      </c>
      <c r="I98" s="21" t="s">
        <v>720</v>
      </c>
      <c r="J98" s="45">
        <v>78126000</v>
      </c>
      <c r="K98" s="58">
        <f>IFERROR(INDEX(Inputs!$H$6:$H$53,MATCH(M98,Inputs!$F$6:$F$53,0)),Inputs!$B$6)</f>
        <v>15000</v>
      </c>
      <c r="L98" s="35">
        <f t="shared" si="4"/>
        <v>5208.3999999999996</v>
      </c>
      <c r="M98" s="61">
        <f t="shared" si="5"/>
        <v>45047</v>
      </c>
      <c r="N98" s="24" t="str">
        <f>IF(D98&lt;&gt;"Cash Movements","Manual",IF(COUNTIF(Bank_IDR!$J$8:$J$71,E98)+COUNTIF(Bank_USD!$J$8:$J$60,E98)&gt;0,"Matched","Unmatched"))</f>
        <v>Manual</v>
      </c>
      <c r="O98" s="6" t="s">
        <v>721</v>
      </c>
      <c r="P98" s="50" t="s">
        <v>912</v>
      </c>
      <c r="Q98" s="6">
        <v>93</v>
      </c>
    </row>
    <row r="99" spans="1:17">
      <c r="A99" s="6" t="s">
        <v>913</v>
      </c>
      <c r="B99" s="9">
        <v>45061</v>
      </c>
      <c r="C99" s="6" t="s">
        <v>717</v>
      </c>
      <c r="D99" s="6" t="s">
        <v>718</v>
      </c>
      <c r="E99" s="6" t="s">
        <v>887</v>
      </c>
      <c r="F99" s="6" t="s">
        <v>484</v>
      </c>
      <c r="G99" s="6" t="s">
        <v>400</v>
      </c>
      <c r="H99" s="24" t="str">
        <f>IFERROR(INDEX(Inputs!$K$6:$K$24,MATCH(G99,Inputs!$J$6:$J$24,0)),"Unmapped")</f>
        <v>Interior Designer</v>
      </c>
      <c r="I99" s="21" t="s">
        <v>720</v>
      </c>
      <c r="J99" s="45">
        <v>31250400.000000004</v>
      </c>
      <c r="K99" s="58">
        <f>IFERROR(INDEX(Inputs!$H$6:$H$53,MATCH(M99,Inputs!$F$6:$F$53,0)),Inputs!$B$6)</f>
        <v>15000</v>
      </c>
      <c r="L99" s="35">
        <f t="shared" si="4"/>
        <v>2083.36</v>
      </c>
      <c r="M99" s="61">
        <f t="shared" si="5"/>
        <v>45047</v>
      </c>
      <c r="N99" s="24" t="str">
        <f>IF(D99&lt;&gt;"Cash Movements","Manual",IF(COUNTIF(Bank_IDR!$J$8:$J$71,E99)+COUNTIF(Bank_USD!$J$8:$J$60,E99)&gt;0,"Matched","Unmatched"))</f>
        <v>Manual</v>
      </c>
      <c r="O99" s="6" t="s">
        <v>721</v>
      </c>
      <c r="P99" s="50" t="s">
        <v>914</v>
      </c>
      <c r="Q99" s="6">
        <v>94</v>
      </c>
    </row>
    <row r="100" spans="1:17">
      <c r="A100" s="6" t="s">
        <v>915</v>
      </c>
      <c r="B100" s="9">
        <v>45066.999305555553</v>
      </c>
      <c r="C100" s="6" t="s">
        <v>795</v>
      </c>
      <c r="D100" s="6" t="s">
        <v>796</v>
      </c>
      <c r="E100" s="6" t="s">
        <v>592</v>
      </c>
      <c r="F100" s="6" t="s">
        <v>506</v>
      </c>
      <c r="G100" s="6" t="s">
        <v>360</v>
      </c>
      <c r="H100" s="24" t="str">
        <f>IFERROR(INDEX(Inputs!$K$6:$K$24,MATCH(G100,Inputs!$J$6:$J$24,0)),"Unmapped")</f>
        <v>Miscellaneous</v>
      </c>
      <c r="I100" s="21" t="s">
        <v>720</v>
      </c>
      <c r="J100" s="45">
        <v>30000</v>
      </c>
      <c r="K100" s="58">
        <f>IFERROR(INDEX(Inputs!$H$6:$H$53,MATCH(M100,Inputs!$F$6:$F$53,0)),Inputs!$B$6)</f>
        <v>15000</v>
      </c>
      <c r="L100" s="35">
        <f t="shared" si="4"/>
        <v>2</v>
      </c>
      <c r="M100" s="61">
        <f t="shared" si="5"/>
        <v>45047</v>
      </c>
      <c r="N100" s="24" t="str">
        <f>IF(D100&lt;&gt;"Cash Movements","Manual",IF(COUNTIF(Bank_IDR!$J$8:$J$71,E100)+COUNTIF(Bank_USD!$J$8:$J$60,E100)&gt;0,"Matched","Unmatched"))</f>
        <v>Matched</v>
      </c>
      <c r="O100" s="6" t="s">
        <v>797</v>
      </c>
      <c r="P100" s="50"/>
      <c r="Q100" s="6">
        <v>95</v>
      </c>
    </row>
    <row r="101" spans="1:17">
      <c r="A101" s="6" t="s">
        <v>916</v>
      </c>
      <c r="B101" s="9">
        <v>45066.999305555553</v>
      </c>
      <c r="C101" s="6" t="s">
        <v>795</v>
      </c>
      <c r="D101" s="6" t="s">
        <v>796</v>
      </c>
      <c r="E101" s="6" t="s">
        <v>665</v>
      </c>
      <c r="F101" s="6" t="s">
        <v>506</v>
      </c>
      <c r="G101" s="6" t="s">
        <v>360</v>
      </c>
      <c r="H101" s="24" t="str">
        <f>IFERROR(INDEX(Inputs!$K$6:$K$24,MATCH(G101,Inputs!$J$6:$J$24,0)),"Unmapped")</f>
        <v>Miscellaneous</v>
      </c>
      <c r="I101" s="21" t="s">
        <v>720</v>
      </c>
      <c r="J101" s="45">
        <v>75000</v>
      </c>
      <c r="K101" s="58">
        <f>IFERROR(INDEX(Inputs!$H$6:$H$53,MATCH(M101,Inputs!$F$6:$F$53,0)),Inputs!$B$6)</f>
        <v>15000</v>
      </c>
      <c r="L101" s="35">
        <f t="shared" si="4"/>
        <v>5</v>
      </c>
      <c r="M101" s="61">
        <f t="shared" si="5"/>
        <v>45047</v>
      </c>
      <c r="N101" s="24" t="str">
        <f>IF(D101&lt;&gt;"Cash Movements","Manual",IF(COUNTIF(Bank_IDR!$J$8:$J$71,E101)+COUNTIF(Bank_USD!$J$8:$J$60,E101)&gt;0,"Matched","Unmatched"))</f>
        <v>Matched</v>
      </c>
      <c r="O101" s="6" t="s">
        <v>797</v>
      </c>
      <c r="P101" s="50"/>
      <c r="Q101" s="6">
        <v>96</v>
      </c>
    </row>
    <row r="102" spans="1:17">
      <c r="A102" s="6" t="s">
        <v>917</v>
      </c>
      <c r="B102" s="9">
        <v>45077.999305555553</v>
      </c>
      <c r="C102" s="6" t="s">
        <v>795</v>
      </c>
      <c r="D102" s="6" t="s">
        <v>796</v>
      </c>
      <c r="E102" s="6" t="s">
        <v>666</v>
      </c>
      <c r="F102" s="6" t="s">
        <v>358</v>
      </c>
      <c r="G102" s="6" t="s">
        <v>436</v>
      </c>
      <c r="H102" s="24" t="str">
        <f>IFERROR(INDEX(Inputs!$K$6:$K$24,MATCH(G102,Inputs!$J$6:$J$24,0)),"Unmapped")</f>
        <v>Withholding tax</v>
      </c>
      <c r="I102" s="21" t="s">
        <v>720</v>
      </c>
      <c r="J102" s="45">
        <v>137100</v>
      </c>
      <c r="K102" s="58">
        <f>IFERROR(INDEX(Inputs!$H$6:$H$53,MATCH(M102,Inputs!$F$6:$F$53,0)),Inputs!$B$6)</f>
        <v>15000</v>
      </c>
      <c r="L102" s="35">
        <f t="shared" si="4"/>
        <v>9.14</v>
      </c>
      <c r="M102" s="61">
        <f t="shared" si="5"/>
        <v>45047</v>
      </c>
      <c r="N102" s="24" t="str">
        <f>IF(D102&lt;&gt;"Cash Movements","Manual",IF(COUNTIF(Bank_IDR!$J$8:$J$71,E102)+COUNTIF(Bank_USD!$J$8:$J$60,E102)&gt;0,"Matched","Unmatched"))</f>
        <v>Matched</v>
      </c>
      <c r="O102" s="6" t="s">
        <v>797</v>
      </c>
      <c r="P102" s="50"/>
      <c r="Q102" s="6">
        <v>97</v>
      </c>
    </row>
    <row r="103" spans="1:17">
      <c r="A103" s="6" t="s">
        <v>918</v>
      </c>
      <c r="B103" s="9">
        <v>45078</v>
      </c>
      <c r="C103" s="6" t="s">
        <v>799</v>
      </c>
      <c r="D103" s="6" t="s">
        <v>799</v>
      </c>
      <c r="E103" s="6"/>
      <c r="F103" s="6" t="s">
        <v>533</v>
      </c>
      <c r="G103" s="6" t="s">
        <v>335</v>
      </c>
      <c r="H103" s="24" t="str">
        <f>IFERROR(INDEX(Inputs!$K$6:$K$24,MATCH(G103,Inputs!$J$6:$J$24,0)),"Unmapped")</f>
        <v>A&amp;G Allocation</v>
      </c>
      <c r="I103" s="21" t="s">
        <v>720</v>
      </c>
      <c r="J103" s="45">
        <v>412500000</v>
      </c>
      <c r="K103" s="58">
        <f>IFERROR(INDEX(Inputs!$H$6:$H$53,MATCH(M103,Inputs!$F$6:$F$53,0)),Inputs!$B$6)</f>
        <v>15000</v>
      </c>
      <c r="L103" s="35">
        <f t="shared" ref="L103:L134" si="6">J103/K103</f>
        <v>27500</v>
      </c>
      <c r="M103" s="61">
        <f t="shared" ref="M103:M134" si="7">DATE(YEAR(B103),MONTH(B103),1)</f>
        <v>45078</v>
      </c>
      <c r="N103" s="24" t="str">
        <f>IF(D103&lt;&gt;"Cash Movements","Manual",IF(COUNTIF(Bank_IDR!$J$8:$J$71,E103)+COUNTIF(Bank_USD!$J$8:$J$60,E103)&gt;0,"Matched","Unmatched"))</f>
        <v>Manual</v>
      </c>
      <c r="O103" s="6" t="s">
        <v>797</v>
      </c>
      <c r="P103" s="50" t="s">
        <v>919</v>
      </c>
      <c r="Q103" s="6">
        <v>98</v>
      </c>
    </row>
    <row r="104" spans="1:17" ht="24">
      <c r="A104" s="6" t="s">
        <v>920</v>
      </c>
      <c r="B104" s="9">
        <v>45092</v>
      </c>
      <c r="C104" s="6" t="s">
        <v>717</v>
      </c>
      <c r="D104" s="6" t="s">
        <v>718</v>
      </c>
      <c r="E104" s="6" t="s">
        <v>921</v>
      </c>
      <c r="F104" s="6" t="s">
        <v>476</v>
      </c>
      <c r="G104" s="6" t="s">
        <v>323</v>
      </c>
      <c r="H104" s="24" t="str">
        <f>IFERROR(INDEX(Inputs!$K$6:$K$24,MATCH(G104,Inputs!$J$6:$J$24,0)),"Unmapped")</f>
        <v>Land Survey</v>
      </c>
      <c r="I104" s="21" t="s">
        <v>720</v>
      </c>
      <c r="J104" s="45">
        <v>4100000</v>
      </c>
      <c r="K104" s="58">
        <f>IFERROR(INDEX(Inputs!$H$6:$H$53,MATCH(M104,Inputs!$F$6:$F$53,0)),Inputs!$B$6)</f>
        <v>15000</v>
      </c>
      <c r="L104" s="35">
        <f t="shared" si="6"/>
        <v>273.33333333333331</v>
      </c>
      <c r="M104" s="61">
        <f t="shared" si="7"/>
        <v>45078</v>
      </c>
      <c r="N104" s="24" t="str">
        <f>IF(D104&lt;&gt;"Cash Movements","Manual",IF(COUNTIF(Bank_IDR!$J$8:$J$71,E104)+COUNTIF(Bank_USD!$J$8:$J$60,E104)&gt;0,"Matched","Unmatched"))</f>
        <v>Manual</v>
      </c>
      <c r="O104" s="6" t="s">
        <v>721</v>
      </c>
      <c r="P104" s="50" t="s">
        <v>922</v>
      </c>
      <c r="Q104" s="6">
        <v>99</v>
      </c>
    </row>
    <row r="105" spans="1:17" ht="24">
      <c r="A105" s="6" t="s">
        <v>923</v>
      </c>
      <c r="B105" s="9">
        <v>45092</v>
      </c>
      <c r="C105" s="6" t="s">
        <v>717</v>
      </c>
      <c r="D105" s="6" t="s">
        <v>718</v>
      </c>
      <c r="E105" s="6" t="s">
        <v>921</v>
      </c>
      <c r="F105" s="6" t="s">
        <v>358</v>
      </c>
      <c r="G105" s="6" t="s">
        <v>436</v>
      </c>
      <c r="H105" s="24" t="str">
        <f>IFERROR(INDEX(Inputs!$K$6:$K$24,MATCH(G105,Inputs!$J$6:$J$24,0)),"Unmapped")</f>
        <v>Withholding tax</v>
      </c>
      <c r="I105" s="21" t="s">
        <v>720</v>
      </c>
      <c r="J105" s="45">
        <v>-100000</v>
      </c>
      <c r="K105" s="58">
        <f>IFERROR(INDEX(Inputs!$H$6:$H$53,MATCH(M105,Inputs!$F$6:$F$53,0)),Inputs!$B$6)</f>
        <v>15000</v>
      </c>
      <c r="L105" s="35">
        <f t="shared" si="6"/>
        <v>-6.666666666666667</v>
      </c>
      <c r="M105" s="61">
        <f t="shared" si="7"/>
        <v>45078</v>
      </c>
      <c r="N105" s="24" t="str">
        <f>IF(D105&lt;&gt;"Cash Movements","Manual",IF(COUNTIF(Bank_IDR!$J$8:$J$71,E105)+COUNTIF(Bank_USD!$J$8:$J$60,E105)&gt;0,"Matched","Unmatched"))</f>
        <v>Manual</v>
      </c>
      <c r="O105" s="6" t="s">
        <v>797</v>
      </c>
      <c r="P105" s="50" t="s">
        <v>924</v>
      </c>
      <c r="Q105" s="6">
        <v>100</v>
      </c>
    </row>
    <row r="106" spans="1:17">
      <c r="A106" s="6" t="s">
        <v>925</v>
      </c>
      <c r="B106" s="9">
        <v>45097.999305555553</v>
      </c>
      <c r="C106" s="6" t="s">
        <v>795</v>
      </c>
      <c r="D106" s="6" t="s">
        <v>796</v>
      </c>
      <c r="E106" s="6" t="s">
        <v>593</v>
      </c>
      <c r="F106" s="6" t="s">
        <v>506</v>
      </c>
      <c r="G106" s="6" t="s">
        <v>360</v>
      </c>
      <c r="H106" s="24" t="str">
        <f>IFERROR(INDEX(Inputs!$K$6:$K$24,MATCH(G106,Inputs!$J$6:$J$24,0)),"Unmapped")</f>
        <v>Miscellaneous</v>
      </c>
      <c r="I106" s="21" t="s">
        <v>720</v>
      </c>
      <c r="J106" s="45">
        <v>30000</v>
      </c>
      <c r="K106" s="58">
        <f>IFERROR(INDEX(Inputs!$H$6:$H$53,MATCH(M106,Inputs!$F$6:$F$53,0)),Inputs!$B$6)</f>
        <v>15000</v>
      </c>
      <c r="L106" s="35">
        <f t="shared" si="6"/>
        <v>2</v>
      </c>
      <c r="M106" s="61">
        <f t="shared" si="7"/>
        <v>45078</v>
      </c>
      <c r="N106" s="24" t="str">
        <f>IF(D106&lt;&gt;"Cash Movements","Manual",IF(COUNTIF(Bank_IDR!$J$8:$J$71,E106)+COUNTIF(Bank_USD!$J$8:$J$60,E106)&gt;0,"Matched","Unmatched"))</f>
        <v>Matched</v>
      </c>
      <c r="O106" s="6" t="s">
        <v>797</v>
      </c>
      <c r="P106" s="50" t="s">
        <v>576</v>
      </c>
      <c r="Q106" s="6">
        <v>101</v>
      </c>
    </row>
    <row r="107" spans="1:17">
      <c r="A107" s="6" t="s">
        <v>926</v>
      </c>
      <c r="B107" s="9">
        <v>45097.999305555553</v>
      </c>
      <c r="C107" s="6" t="s">
        <v>795</v>
      </c>
      <c r="D107" s="6" t="s">
        <v>796</v>
      </c>
      <c r="E107" s="6" t="s">
        <v>668</v>
      </c>
      <c r="F107" s="6" t="s">
        <v>506</v>
      </c>
      <c r="G107" s="6" t="s">
        <v>360</v>
      </c>
      <c r="H107" s="24" t="str">
        <f>IFERROR(INDEX(Inputs!$K$6:$K$24,MATCH(G107,Inputs!$J$6:$J$24,0)),"Unmapped")</f>
        <v>Miscellaneous</v>
      </c>
      <c r="I107" s="21" t="s">
        <v>720</v>
      </c>
      <c r="J107" s="45">
        <v>75000</v>
      </c>
      <c r="K107" s="58">
        <f>IFERROR(INDEX(Inputs!$H$6:$H$53,MATCH(M107,Inputs!$F$6:$F$53,0)),Inputs!$B$6)</f>
        <v>15000</v>
      </c>
      <c r="L107" s="35">
        <f t="shared" si="6"/>
        <v>5</v>
      </c>
      <c r="M107" s="61">
        <f t="shared" si="7"/>
        <v>45078</v>
      </c>
      <c r="N107" s="24" t="str">
        <f>IF(D107&lt;&gt;"Cash Movements","Manual",IF(COUNTIF(Bank_IDR!$J$8:$J$71,E107)+COUNTIF(Bank_USD!$J$8:$J$60,E107)&gt;0,"Matched","Unmatched"))</f>
        <v>Matched</v>
      </c>
      <c r="O107" s="6" t="s">
        <v>797</v>
      </c>
      <c r="P107" s="50" t="s">
        <v>576</v>
      </c>
      <c r="Q107" s="6">
        <v>102</v>
      </c>
    </row>
    <row r="108" spans="1:17" ht="24">
      <c r="A108" s="6" t="s">
        <v>927</v>
      </c>
      <c r="B108" s="9">
        <v>45100.354166655095</v>
      </c>
      <c r="C108" s="6" t="s">
        <v>795</v>
      </c>
      <c r="D108" s="6" t="s">
        <v>796</v>
      </c>
      <c r="E108" s="6" t="s">
        <v>597</v>
      </c>
      <c r="F108" s="6" t="s">
        <v>498</v>
      </c>
      <c r="G108" s="6" t="s">
        <v>301</v>
      </c>
      <c r="H108" s="24" t="str">
        <f>IFERROR(INDEX(Inputs!$K$6:$K$24,MATCH(G108,Inputs!$J$6:$J$24,0)),"Unmapped")</f>
        <v>Architect Cost</v>
      </c>
      <c r="I108" s="21" t="s">
        <v>720</v>
      </c>
      <c r="J108" s="45">
        <v>2900</v>
      </c>
      <c r="K108" s="58">
        <f>IFERROR(INDEX(Inputs!$H$6:$H$53,MATCH(M108,Inputs!$F$6:$F$53,0)),Inputs!$B$6)</f>
        <v>15000</v>
      </c>
      <c r="L108" s="35">
        <f t="shared" si="6"/>
        <v>0.19333333333333333</v>
      </c>
      <c r="M108" s="61">
        <f t="shared" si="7"/>
        <v>45078</v>
      </c>
      <c r="N108" s="24" t="str">
        <f>IF(D108&lt;&gt;"Cash Movements","Manual",IF(COUNTIF(Bank_IDR!$J$8:$J$71,E108)+COUNTIF(Bank_USD!$J$8:$J$60,E108)&gt;0,"Matched","Unmatched"))</f>
        <v>Matched</v>
      </c>
      <c r="O108" s="6" t="s">
        <v>721</v>
      </c>
      <c r="P108" s="50" t="s">
        <v>596</v>
      </c>
      <c r="Q108" s="6">
        <v>103</v>
      </c>
    </row>
    <row r="109" spans="1:17" ht="24">
      <c r="A109" s="6" t="s">
        <v>928</v>
      </c>
      <c r="B109" s="9">
        <v>45100.354166655095</v>
      </c>
      <c r="C109" s="6" t="s">
        <v>795</v>
      </c>
      <c r="D109" s="6" t="s">
        <v>796</v>
      </c>
      <c r="E109" s="6" t="s">
        <v>597</v>
      </c>
      <c r="F109" s="6" t="s">
        <v>498</v>
      </c>
      <c r="G109" s="6" t="s">
        <v>301</v>
      </c>
      <c r="H109" s="24" t="str">
        <f>IFERROR(INDEX(Inputs!$K$6:$K$24,MATCH(G109,Inputs!$J$6:$J$24,0)),"Unmapped")</f>
        <v>Architect Cost</v>
      </c>
      <c r="I109" s="21" t="s">
        <v>720</v>
      </c>
      <c r="J109" s="45">
        <v>939101129</v>
      </c>
      <c r="K109" s="58">
        <f>IFERROR(INDEX(Inputs!$H$6:$H$53,MATCH(M109,Inputs!$F$6:$F$53,0)),Inputs!$B$6)</f>
        <v>15000</v>
      </c>
      <c r="L109" s="35">
        <f t="shared" si="6"/>
        <v>62606.741933333331</v>
      </c>
      <c r="M109" s="61">
        <f t="shared" si="7"/>
        <v>45078</v>
      </c>
      <c r="N109" s="24" t="str">
        <f>IF(D109&lt;&gt;"Cash Movements","Manual",IF(COUNTIF(Bank_IDR!$J$8:$J$71,E109)+COUNTIF(Bank_USD!$J$8:$J$60,E109)&gt;0,"Matched","Unmatched"))</f>
        <v>Matched</v>
      </c>
      <c r="O109" s="6" t="s">
        <v>721</v>
      </c>
      <c r="P109" s="50" t="s">
        <v>596</v>
      </c>
      <c r="Q109" s="6">
        <v>104</v>
      </c>
    </row>
    <row r="110" spans="1:17" ht="24">
      <c r="A110" s="6" t="s">
        <v>929</v>
      </c>
      <c r="B110" s="9">
        <v>45104.571527777778</v>
      </c>
      <c r="C110" s="6" t="s">
        <v>795</v>
      </c>
      <c r="D110" s="6" t="s">
        <v>796</v>
      </c>
      <c r="E110" s="6" t="s">
        <v>671</v>
      </c>
      <c r="F110" s="6" t="s">
        <v>484</v>
      </c>
      <c r="G110" s="6" t="s">
        <v>400</v>
      </c>
      <c r="H110" s="24" t="str">
        <f>IFERROR(INDEX(Inputs!$K$6:$K$24,MATCH(G110,Inputs!$J$6:$J$24,0)),"Unmapped")</f>
        <v>Interior Designer</v>
      </c>
      <c r="I110" s="21" t="s">
        <v>720</v>
      </c>
      <c r="J110" s="45">
        <v>399750</v>
      </c>
      <c r="K110" s="58">
        <f>IFERROR(INDEX(Inputs!$H$6:$H$53,MATCH(M110,Inputs!$F$6:$F$53,0)),Inputs!$B$6)</f>
        <v>15000</v>
      </c>
      <c r="L110" s="35">
        <f t="shared" si="6"/>
        <v>26.65</v>
      </c>
      <c r="M110" s="61">
        <f t="shared" si="7"/>
        <v>45078</v>
      </c>
      <c r="N110" s="24" t="str">
        <f>IF(D110&lt;&gt;"Cash Movements","Manual",IF(COUNTIF(Bank_IDR!$J$8:$J$71,E110)+COUNTIF(Bank_USD!$J$8:$J$60,E110)&gt;0,"Matched","Unmatched"))</f>
        <v>Matched</v>
      </c>
      <c r="O110" s="6" t="s">
        <v>721</v>
      </c>
      <c r="P110" s="50" t="s">
        <v>670</v>
      </c>
      <c r="Q110" s="6">
        <v>105</v>
      </c>
    </row>
    <row r="111" spans="1:17" ht="24">
      <c r="A111" s="6" t="s">
        <v>930</v>
      </c>
      <c r="B111" s="9">
        <v>45104.571527777778</v>
      </c>
      <c r="C111" s="6" t="s">
        <v>795</v>
      </c>
      <c r="D111" s="6" t="s">
        <v>796</v>
      </c>
      <c r="E111" s="6" t="s">
        <v>671</v>
      </c>
      <c r="F111" s="6" t="s">
        <v>484</v>
      </c>
      <c r="G111" s="6" t="s">
        <v>400</v>
      </c>
      <c r="H111" s="24" t="str">
        <f>IFERROR(INDEX(Inputs!$K$6:$K$24,MATCH(G111,Inputs!$J$6:$J$24,0)),"Unmapped")</f>
        <v>Interior Designer</v>
      </c>
      <c r="I111" s="21" t="s">
        <v>720</v>
      </c>
      <c r="J111" s="45">
        <v>75000</v>
      </c>
      <c r="K111" s="58">
        <f>IFERROR(INDEX(Inputs!$H$6:$H$53,MATCH(M111,Inputs!$F$6:$F$53,0)),Inputs!$B$6)</f>
        <v>15000</v>
      </c>
      <c r="L111" s="35">
        <f t="shared" si="6"/>
        <v>5</v>
      </c>
      <c r="M111" s="61">
        <f t="shared" si="7"/>
        <v>45078</v>
      </c>
      <c r="N111" s="24" t="str">
        <f>IF(D111&lt;&gt;"Cash Movements","Manual",IF(COUNTIF(Bank_IDR!$J$8:$J$71,E111)+COUNTIF(Bank_USD!$J$8:$J$60,E111)&gt;0,"Matched","Unmatched"))</f>
        <v>Matched</v>
      </c>
      <c r="O111" s="6" t="s">
        <v>721</v>
      </c>
      <c r="P111" s="50" t="s">
        <v>670</v>
      </c>
      <c r="Q111" s="6">
        <v>106</v>
      </c>
    </row>
    <row r="112" spans="1:17" ht="24">
      <c r="A112" s="6" t="s">
        <v>931</v>
      </c>
      <c r="B112" s="9">
        <v>45104.571527777778</v>
      </c>
      <c r="C112" s="6" t="s">
        <v>795</v>
      </c>
      <c r="D112" s="6" t="s">
        <v>796</v>
      </c>
      <c r="E112" s="6" t="s">
        <v>671</v>
      </c>
      <c r="F112" s="6" t="s">
        <v>484</v>
      </c>
      <c r="G112" s="6" t="s">
        <v>400</v>
      </c>
      <c r="H112" s="24" t="str">
        <f>IFERROR(INDEX(Inputs!$K$6:$K$24,MATCH(G112,Inputs!$J$6:$J$24,0)),"Unmapped")</f>
        <v>Interior Designer</v>
      </c>
      <c r="I112" s="21" t="s">
        <v>720</v>
      </c>
      <c r="J112" s="45">
        <v>214821900</v>
      </c>
      <c r="K112" s="58">
        <f>IFERROR(INDEX(Inputs!$H$6:$H$53,MATCH(M112,Inputs!$F$6:$F$53,0)),Inputs!$B$6)</f>
        <v>15000</v>
      </c>
      <c r="L112" s="35">
        <f t="shared" si="6"/>
        <v>14321.46</v>
      </c>
      <c r="M112" s="61">
        <f t="shared" si="7"/>
        <v>45078</v>
      </c>
      <c r="N112" s="24" t="str">
        <f>IF(D112&lt;&gt;"Cash Movements","Manual",IF(COUNTIF(Bank_IDR!$J$8:$J$71,E112)+COUNTIF(Bank_USD!$J$8:$J$60,E112)&gt;0,"Matched","Unmatched"))</f>
        <v>Matched</v>
      </c>
      <c r="O112" s="6" t="s">
        <v>721</v>
      </c>
      <c r="P112" s="50" t="s">
        <v>670</v>
      </c>
      <c r="Q112" s="6">
        <v>107</v>
      </c>
    </row>
    <row r="113" spans="1:17">
      <c r="A113" s="6" t="s">
        <v>932</v>
      </c>
      <c r="B113" s="9">
        <v>45107.999305555553</v>
      </c>
      <c r="C113" s="6" t="s">
        <v>795</v>
      </c>
      <c r="D113" s="6" t="s">
        <v>796</v>
      </c>
      <c r="E113" s="6" t="s">
        <v>598</v>
      </c>
      <c r="F113" s="6" t="s">
        <v>358</v>
      </c>
      <c r="G113" s="6" t="s">
        <v>358</v>
      </c>
      <c r="H113" s="24" t="str">
        <f>IFERROR(INDEX(Inputs!$K$6:$K$24,MATCH(G113,Inputs!$J$6:$J$24,0)),"Unmapped")</f>
        <v>Withholding tax</v>
      </c>
      <c r="I113" s="21" t="s">
        <v>720</v>
      </c>
      <c r="J113" s="45">
        <v>3947.15</v>
      </c>
      <c r="K113" s="58">
        <f>IFERROR(INDEX(Inputs!$H$6:$H$53,MATCH(M113,Inputs!$F$6:$F$53,0)),Inputs!$B$6)</f>
        <v>15000</v>
      </c>
      <c r="L113" s="35">
        <f t="shared" si="6"/>
        <v>0.26314333333333334</v>
      </c>
      <c r="M113" s="61">
        <f t="shared" si="7"/>
        <v>45078</v>
      </c>
      <c r="N113" s="24" t="str">
        <f>IF(D113&lt;&gt;"Cash Movements","Manual",IF(COUNTIF(Bank_IDR!$J$8:$J$71,E113)+COUNTIF(Bank_USD!$J$8:$J$60,E113)&gt;0,"Matched","Unmatched"))</f>
        <v>Matched</v>
      </c>
      <c r="O113" s="6" t="s">
        <v>797</v>
      </c>
      <c r="P113" s="50" t="s">
        <v>565</v>
      </c>
      <c r="Q113" s="6">
        <v>108</v>
      </c>
    </row>
    <row r="114" spans="1:17">
      <c r="A114" s="6" t="s">
        <v>933</v>
      </c>
      <c r="B114" s="9">
        <v>45107.999305555553</v>
      </c>
      <c r="C114" s="6" t="s">
        <v>795</v>
      </c>
      <c r="D114" s="6" t="s">
        <v>796</v>
      </c>
      <c r="E114" s="6" t="s">
        <v>672</v>
      </c>
      <c r="F114" s="6" t="s">
        <v>358</v>
      </c>
      <c r="G114" s="6" t="s">
        <v>358</v>
      </c>
      <c r="H114" s="24" t="str">
        <f>IFERROR(INDEX(Inputs!$K$6:$K$24,MATCH(G114,Inputs!$J$6:$J$24,0)),"Unmapped")</f>
        <v>Withholding tax</v>
      </c>
      <c r="I114" s="21" t="s">
        <v>720</v>
      </c>
      <c r="J114" s="45">
        <v>122999.99999999999</v>
      </c>
      <c r="K114" s="58">
        <f>IFERROR(INDEX(Inputs!$H$6:$H$53,MATCH(M114,Inputs!$F$6:$F$53,0)),Inputs!$B$6)</f>
        <v>15000</v>
      </c>
      <c r="L114" s="35">
        <f t="shared" si="6"/>
        <v>8.1999999999999993</v>
      </c>
      <c r="M114" s="61">
        <f t="shared" si="7"/>
        <v>45078</v>
      </c>
      <c r="N114" s="24" t="str">
        <f>IF(D114&lt;&gt;"Cash Movements","Manual",IF(COUNTIF(Bank_IDR!$J$8:$J$71,E114)+COUNTIF(Bank_USD!$J$8:$J$60,E114)&gt;0,"Matched","Unmatched"))</f>
        <v>Matched</v>
      </c>
      <c r="O114" s="6" t="s">
        <v>797</v>
      </c>
      <c r="P114" s="50" t="s">
        <v>565</v>
      </c>
      <c r="Q114" s="6">
        <v>109</v>
      </c>
    </row>
    <row r="115" spans="1:17">
      <c r="A115" s="6" t="s">
        <v>934</v>
      </c>
      <c r="B115" s="9">
        <v>45108</v>
      </c>
      <c r="C115" s="6" t="s">
        <v>799</v>
      </c>
      <c r="D115" s="6" t="s">
        <v>799</v>
      </c>
      <c r="E115" s="6"/>
      <c r="F115" s="6" t="s">
        <v>533</v>
      </c>
      <c r="G115" s="6" t="s">
        <v>335</v>
      </c>
      <c r="H115" s="24" t="str">
        <f>IFERROR(INDEX(Inputs!$K$6:$K$24,MATCH(G115,Inputs!$J$6:$J$24,0)),"Unmapped")</f>
        <v>A&amp;G Allocation</v>
      </c>
      <c r="I115" s="21" t="s">
        <v>720</v>
      </c>
      <c r="J115" s="45">
        <v>412500000</v>
      </c>
      <c r="K115" s="58">
        <f>IFERROR(INDEX(Inputs!$H$6:$H$53,MATCH(M115,Inputs!$F$6:$F$53,0)),Inputs!$B$6)</f>
        <v>15000</v>
      </c>
      <c r="L115" s="35">
        <f t="shared" si="6"/>
        <v>27500</v>
      </c>
      <c r="M115" s="61">
        <f t="shared" si="7"/>
        <v>45108</v>
      </c>
      <c r="N115" s="24" t="str">
        <f>IF(D115&lt;&gt;"Cash Movements","Manual",IF(COUNTIF(Bank_IDR!$J$8:$J$71,E115)+COUNTIF(Bank_USD!$J$8:$J$60,E115)&gt;0,"Matched","Unmatched"))</f>
        <v>Manual</v>
      </c>
      <c r="O115" s="6" t="s">
        <v>797</v>
      </c>
      <c r="P115" s="50" t="s">
        <v>935</v>
      </c>
      <c r="Q115" s="6">
        <v>110</v>
      </c>
    </row>
    <row r="116" spans="1:17">
      <c r="A116" s="6" t="s">
        <v>936</v>
      </c>
      <c r="B116" s="9">
        <v>45113</v>
      </c>
      <c r="C116" s="6" t="s">
        <v>937</v>
      </c>
      <c r="D116" s="6" t="s">
        <v>938</v>
      </c>
      <c r="E116" s="6" t="s">
        <v>937</v>
      </c>
      <c r="F116" s="6" t="s">
        <v>488</v>
      </c>
      <c r="G116" s="6" t="s">
        <v>319</v>
      </c>
      <c r="H116" s="24" t="str">
        <f>IFERROR(INDEX(Inputs!$K$6:$K$24,MATCH(G116,Inputs!$J$6:$J$24,0)),"Unmapped")</f>
        <v>Tax &amp; legal advice</v>
      </c>
      <c r="I116" s="21" t="s">
        <v>720</v>
      </c>
      <c r="J116" s="45">
        <v>6000000</v>
      </c>
      <c r="K116" s="58">
        <f>IFERROR(INDEX(Inputs!$H$6:$H$53,MATCH(M116,Inputs!$F$6:$F$53,0)),Inputs!$B$6)</f>
        <v>15000</v>
      </c>
      <c r="L116" s="35">
        <f t="shared" si="6"/>
        <v>400</v>
      </c>
      <c r="M116" s="61">
        <f t="shared" si="7"/>
        <v>45108</v>
      </c>
      <c r="N116" s="24" t="str">
        <f>IF(D116&lt;&gt;"Cash Movements","Manual",IF(COUNTIF(Bank_IDR!$J$8:$J$71,E116)+COUNTIF(Bank_USD!$J$8:$J$60,E116)&gt;0,"Matched","Unmatched"))</f>
        <v>Manual</v>
      </c>
      <c r="O116" s="6" t="s">
        <v>721</v>
      </c>
      <c r="P116" s="50" t="s">
        <v>939</v>
      </c>
      <c r="Q116" s="6">
        <v>111</v>
      </c>
    </row>
    <row r="117" spans="1:17">
      <c r="A117" s="6" t="s">
        <v>940</v>
      </c>
      <c r="B117" s="9">
        <v>45113</v>
      </c>
      <c r="C117" s="6" t="s">
        <v>937</v>
      </c>
      <c r="D117" s="6" t="s">
        <v>938</v>
      </c>
      <c r="E117" s="6" t="s">
        <v>937</v>
      </c>
      <c r="F117" s="6" t="s">
        <v>488</v>
      </c>
      <c r="G117" s="6" t="s">
        <v>319</v>
      </c>
      <c r="H117" s="24" t="str">
        <f>IFERROR(INDEX(Inputs!$K$6:$K$24,MATCH(G117,Inputs!$J$6:$J$24,0)),"Unmapped")</f>
        <v>Tax &amp; legal advice</v>
      </c>
      <c r="I117" s="21" t="s">
        <v>720</v>
      </c>
      <c r="J117" s="45">
        <v>125701654</v>
      </c>
      <c r="K117" s="58">
        <f>IFERROR(INDEX(Inputs!$H$6:$H$53,MATCH(M117,Inputs!$F$6:$F$53,0)),Inputs!$B$6)</f>
        <v>15000</v>
      </c>
      <c r="L117" s="35">
        <f t="shared" si="6"/>
        <v>8380.1102666666666</v>
      </c>
      <c r="M117" s="61">
        <f t="shared" si="7"/>
        <v>45108</v>
      </c>
      <c r="N117" s="24" t="str">
        <f>IF(D117&lt;&gt;"Cash Movements","Manual",IF(COUNTIF(Bank_IDR!$J$8:$J$71,E117)+COUNTIF(Bank_USD!$J$8:$J$60,E117)&gt;0,"Matched","Unmatched"))</f>
        <v>Manual</v>
      </c>
      <c r="O117" s="6" t="s">
        <v>721</v>
      </c>
      <c r="P117" s="50" t="s">
        <v>941</v>
      </c>
      <c r="Q117" s="6">
        <v>112</v>
      </c>
    </row>
    <row r="118" spans="1:17" ht="24">
      <c r="A118" s="6" t="s">
        <v>942</v>
      </c>
      <c r="B118" s="9">
        <v>45121.345833333333</v>
      </c>
      <c r="C118" s="6" t="s">
        <v>795</v>
      </c>
      <c r="D118" s="6" t="s">
        <v>796</v>
      </c>
      <c r="E118" s="6" t="s">
        <v>601</v>
      </c>
      <c r="F118" s="6" t="s">
        <v>496</v>
      </c>
      <c r="G118" s="6" t="s">
        <v>314</v>
      </c>
      <c r="H118" s="24" t="str">
        <f>IFERROR(INDEX(Inputs!$K$6:$K$24,MATCH(G118,Inputs!$J$6:$J$24,0)),"Unmapped")</f>
        <v>Quantity Surveyor</v>
      </c>
      <c r="I118" s="21" t="s">
        <v>720</v>
      </c>
      <c r="J118" s="45">
        <v>2900</v>
      </c>
      <c r="K118" s="58">
        <f>IFERROR(INDEX(Inputs!$H$6:$H$53,MATCH(M118,Inputs!$F$6:$F$53,0)),Inputs!$B$6)</f>
        <v>15000</v>
      </c>
      <c r="L118" s="35">
        <f t="shared" si="6"/>
        <v>0.19333333333333333</v>
      </c>
      <c r="M118" s="61">
        <f t="shared" si="7"/>
        <v>45108</v>
      </c>
      <c r="N118" s="24" t="str">
        <f>IF(D118&lt;&gt;"Cash Movements","Manual",IF(COUNTIF(Bank_IDR!$J$8:$J$71,E118)+COUNTIF(Bank_USD!$J$8:$J$60,E118)&gt;0,"Matched","Unmatched"))</f>
        <v>Matched</v>
      </c>
      <c r="O118" s="6" t="s">
        <v>797</v>
      </c>
      <c r="P118" s="50" t="s">
        <v>600</v>
      </c>
      <c r="Q118" s="6">
        <v>113</v>
      </c>
    </row>
    <row r="119" spans="1:17" ht="24">
      <c r="A119" s="6" t="s">
        <v>943</v>
      </c>
      <c r="B119" s="9">
        <v>45121.345833333333</v>
      </c>
      <c r="C119" s="6" t="s">
        <v>795</v>
      </c>
      <c r="D119" s="6" t="s">
        <v>796</v>
      </c>
      <c r="E119" s="6" t="s">
        <v>601</v>
      </c>
      <c r="F119" s="6" t="s">
        <v>496</v>
      </c>
      <c r="G119" s="6" t="s">
        <v>314</v>
      </c>
      <c r="H119" s="24" t="str">
        <f>IFERROR(INDEX(Inputs!$K$6:$K$24,MATCH(G119,Inputs!$J$6:$J$24,0)),"Unmapped")</f>
        <v>Quantity Surveyor</v>
      </c>
      <c r="I119" s="21" t="s">
        <v>720</v>
      </c>
      <c r="J119" s="45">
        <v>142138865</v>
      </c>
      <c r="K119" s="58">
        <f>IFERROR(INDEX(Inputs!$H$6:$H$53,MATCH(M119,Inputs!$F$6:$F$53,0)),Inputs!$B$6)</f>
        <v>15000</v>
      </c>
      <c r="L119" s="35">
        <f t="shared" si="6"/>
        <v>9475.9243333333325</v>
      </c>
      <c r="M119" s="61">
        <f t="shared" si="7"/>
        <v>45108</v>
      </c>
      <c r="N119" s="24" t="str">
        <f>IF(D119&lt;&gt;"Cash Movements","Manual",IF(COUNTIF(Bank_IDR!$J$8:$J$71,E119)+COUNTIF(Bank_USD!$J$8:$J$60,E119)&gt;0,"Matched","Unmatched"))</f>
        <v>Matched</v>
      </c>
      <c r="O119" s="6" t="s">
        <v>721</v>
      </c>
      <c r="P119" s="50" t="s">
        <v>600</v>
      </c>
      <c r="Q119" s="6">
        <v>114</v>
      </c>
    </row>
    <row r="120" spans="1:17" ht="24">
      <c r="A120" s="6" t="s">
        <v>944</v>
      </c>
      <c r="B120" s="9">
        <v>45121.345833333333</v>
      </c>
      <c r="C120" s="6" t="s">
        <v>795</v>
      </c>
      <c r="D120" s="6" t="s">
        <v>796</v>
      </c>
      <c r="E120" s="6" t="s">
        <v>603</v>
      </c>
      <c r="F120" s="6" t="s">
        <v>496</v>
      </c>
      <c r="G120" s="6" t="s">
        <v>314</v>
      </c>
      <c r="H120" s="24" t="str">
        <f>IFERROR(INDEX(Inputs!$K$6:$K$24,MATCH(G120,Inputs!$J$6:$J$24,0)),"Unmapped")</f>
        <v>Quantity Surveyor</v>
      </c>
      <c r="I120" s="21" t="s">
        <v>720</v>
      </c>
      <c r="J120" s="45">
        <v>2900</v>
      </c>
      <c r="K120" s="58">
        <f>IFERROR(INDEX(Inputs!$H$6:$H$53,MATCH(M120,Inputs!$F$6:$F$53,0)),Inputs!$B$6)</f>
        <v>15000</v>
      </c>
      <c r="L120" s="35">
        <f t="shared" si="6"/>
        <v>0.19333333333333333</v>
      </c>
      <c r="M120" s="61">
        <f t="shared" si="7"/>
        <v>45108</v>
      </c>
      <c r="N120" s="24" t="str">
        <f>IF(D120&lt;&gt;"Cash Movements","Manual",IF(COUNTIF(Bank_IDR!$J$8:$J$71,E120)+COUNTIF(Bank_USD!$J$8:$J$60,E120)&gt;0,"Matched","Unmatched"))</f>
        <v>Matched</v>
      </c>
      <c r="O120" s="6" t="s">
        <v>797</v>
      </c>
      <c r="P120" s="50" t="s">
        <v>602</v>
      </c>
      <c r="Q120" s="6">
        <v>115</v>
      </c>
    </row>
    <row r="121" spans="1:17" ht="24">
      <c r="A121" s="6" t="s">
        <v>945</v>
      </c>
      <c r="B121" s="9">
        <v>45121.345833333333</v>
      </c>
      <c r="C121" s="6" t="s">
        <v>795</v>
      </c>
      <c r="D121" s="6" t="s">
        <v>796</v>
      </c>
      <c r="E121" s="6" t="s">
        <v>603</v>
      </c>
      <c r="F121" s="6" t="s">
        <v>496</v>
      </c>
      <c r="G121" s="6" t="s">
        <v>314</v>
      </c>
      <c r="H121" s="24" t="str">
        <f>IFERROR(INDEX(Inputs!$K$6:$K$24,MATCH(G121,Inputs!$J$6:$J$24,0)),"Unmapped")</f>
        <v>Quantity Surveyor</v>
      </c>
      <c r="I121" s="21" t="s">
        <v>720</v>
      </c>
      <c r="J121" s="45">
        <v>48375000</v>
      </c>
      <c r="K121" s="58">
        <f>IFERROR(INDEX(Inputs!$H$6:$H$53,MATCH(M121,Inputs!$F$6:$F$53,0)),Inputs!$B$6)</f>
        <v>15000</v>
      </c>
      <c r="L121" s="35">
        <f t="shared" si="6"/>
        <v>3225</v>
      </c>
      <c r="M121" s="61">
        <f t="shared" si="7"/>
        <v>45108</v>
      </c>
      <c r="N121" s="24" t="str">
        <f>IF(D121&lt;&gt;"Cash Movements","Manual",IF(COUNTIF(Bank_IDR!$J$8:$J$71,E121)+COUNTIF(Bank_USD!$J$8:$J$60,E121)&gt;0,"Matched","Unmatched"))</f>
        <v>Matched</v>
      </c>
      <c r="O121" s="6" t="s">
        <v>721</v>
      </c>
      <c r="P121" s="50" t="s">
        <v>602</v>
      </c>
      <c r="Q121" s="6">
        <v>116</v>
      </c>
    </row>
    <row r="122" spans="1:17">
      <c r="A122" s="6" t="s">
        <v>946</v>
      </c>
      <c r="B122" s="9">
        <v>45127.999305555553</v>
      </c>
      <c r="C122" s="6" t="s">
        <v>795</v>
      </c>
      <c r="D122" s="6" t="s">
        <v>796</v>
      </c>
      <c r="E122" s="6" t="s">
        <v>604</v>
      </c>
      <c r="F122" s="6" t="s">
        <v>506</v>
      </c>
      <c r="G122" s="6" t="s">
        <v>360</v>
      </c>
      <c r="H122" s="24" t="str">
        <f>IFERROR(INDEX(Inputs!$K$6:$K$24,MATCH(G122,Inputs!$J$6:$J$24,0)),"Unmapped")</f>
        <v>Miscellaneous</v>
      </c>
      <c r="I122" s="21" t="s">
        <v>720</v>
      </c>
      <c r="J122" s="45">
        <v>30000</v>
      </c>
      <c r="K122" s="58">
        <f>IFERROR(INDEX(Inputs!$H$6:$H$53,MATCH(M122,Inputs!$F$6:$F$53,0)),Inputs!$B$6)</f>
        <v>15000</v>
      </c>
      <c r="L122" s="35">
        <f t="shared" si="6"/>
        <v>2</v>
      </c>
      <c r="M122" s="61">
        <f t="shared" si="7"/>
        <v>45108</v>
      </c>
      <c r="N122" s="24" t="str">
        <f>IF(D122&lt;&gt;"Cash Movements","Manual",IF(COUNTIF(Bank_IDR!$J$8:$J$71,E122)+COUNTIF(Bank_USD!$J$8:$J$60,E122)&gt;0,"Matched","Unmatched"))</f>
        <v>Matched</v>
      </c>
      <c r="O122" s="6" t="s">
        <v>797</v>
      </c>
      <c r="P122" s="50" t="s">
        <v>576</v>
      </c>
      <c r="Q122" s="6">
        <v>117</v>
      </c>
    </row>
    <row r="123" spans="1:17">
      <c r="A123" s="6" t="s">
        <v>947</v>
      </c>
      <c r="B123" s="9">
        <v>45127.999305555553</v>
      </c>
      <c r="C123" s="6" t="s">
        <v>795</v>
      </c>
      <c r="D123" s="6" t="s">
        <v>796</v>
      </c>
      <c r="E123" s="6" t="s">
        <v>674</v>
      </c>
      <c r="F123" s="6" t="s">
        <v>506</v>
      </c>
      <c r="G123" s="6" t="s">
        <v>360</v>
      </c>
      <c r="H123" s="24" t="str">
        <f>IFERROR(INDEX(Inputs!$K$6:$K$24,MATCH(G123,Inputs!$J$6:$J$24,0)),"Unmapped")</f>
        <v>Miscellaneous</v>
      </c>
      <c r="I123" s="21" t="s">
        <v>720</v>
      </c>
      <c r="J123" s="45">
        <v>75000</v>
      </c>
      <c r="K123" s="58">
        <f>IFERROR(INDEX(Inputs!$H$6:$H$53,MATCH(M123,Inputs!$F$6:$F$53,0)),Inputs!$B$6)</f>
        <v>15000</v>
      </c>
      <c r="L123" s="35">
        <f t="shared" si="6"/>
        <v>5</v>
      </c>
      <c r="M123" s="61">
        <f t="shared" si="7"/>
        <v>45108</v>
      </c>
      <c r="N123" s="24" t="str">
        <f>IF(D123&lt;&gt;"Cash Movements","Manual",IF(COUNTIF(Bank_IDR!$J$8:$J$71,E123)+COUNTIF(Bank_USD!$J$8:$J$60,E123)&gt;0,"Matched","Unmatched"))</f>
        <v>Matched</v>
      </c>
      <c r="O123" s="6" t="s">
        <v>797</v>
      </c>
      <c r="P123" s="50" t="s">
        <v>576</v>
      </c>
      <c r="Q123" s="6">
        <v>118</v>
      </c>
    </row>
    <row r="124" spans="1:17">
      <c r="A124" s="6" t="s">
        <v>948</v>
      </c>
      <c r="B124" s="9">
        <v>45138</v>
      </c>
      <c r="C124" s="6" t="s">
        <v>949</v>
      </c>
      <c r="D124" s="6" t="s">
        <v>949</v>
      </c>
      <c r="E124" s="6"/>
      <c r="F124" s="6" t="s">
        <v>535</v>
      </c>
      <c r="G124" s="6" t="s">
        <v>321</v>
      </c>
      <c r="H124" s="24" t="str">
        <f>IFERROR(INDEX(Inputs!$K$6:$K$24,MATCH(G124,Inputs!$J$6:$J$24,0)),"Unmapped")</f>
        <v>Other professional fees</v>
      </c>
      <c r="I124" s="21" t="s">
        <v>720</v>
      </c>
      <c r="J124" s="45">
        <v>600000000</v>
      </c>
      <c r="K124" s="58">
        <f>IFERROR(INDEX(Inputs!$H$6:$H$53,MATCH(M124,Inputs!$F$6:$F$53,0)),Inputs!$B$6)</f>
        <v>15000</v>
      </c>
      <c r="L124" s="35">
        <f t="shared" si="6"/>
        <v>40000</v>
      </c>
      <c r="M124" s="61">
        <f t="shared" si="7"/>
        <v>45108</v>
      </c>
      <c r="N124" s="24" t="str">
        <f>IF(D124&lt;&gt;"Cash Movements","Manual",IF(COUNTIF(Bank_IDR!$J$8:$J$71,E124)+COUNTIF(Bank_USD!$J$8:$J$60,E124)&gt;0,"Matched","Unmatched"))</f>
        <v>Manual</v>
      </c>
      <c r="O124" s="6" t="s">
        <v>797</v>
      </c>
      <c r="P124" s="50" t="s">
        <v>950</v>
      </c>
      <c r="Q124" s="6">
        <v>119</v>
      </c>
    </row>
    <row r="125" spans="1:17" ht="24">
      <c r="A125" s="6" t="s">
        <v>951</v>
      </c>
      <c r="B125" s="9">
        <v>45138.468055555553</v>
      </c>
      <c r="C125" s="6" t="s">
        <v>795</v>
      </c>
      <c r="D125" s="6" t="s">
        <v>796</v>
      </c>
      <c r="E125" s="6" t="s">
        <v>608</v>
      </c>
      <c r="F125" s="6" t="s">
        <v>498</v>
      </c>
      <c r="G125" s="6" t="s">
        <v>301</v>
      </c>
      <c r="H125" s="24" t="str">
        <f>IFERROR(INDEX(Inputs!$K$6:$K$24,MATCH(G125,Inputs!$J$6:$J$24,0)),"Unmapped")</f>
        <v>Architect Cost</v>
      </c>
      <c r="I125" s="21" t="s">
        <v>720</v>
      </c>
      <c r="J125" s="45">
        <v>2900</v>
      </c>
      <c r="K125" s="58">
        <f>IFERROR(INDEX(Inputs!$H$6:$H$53,MATCH(M125,Inputs!$F$6:$F$53,0)),Inputs!$B$6)</f>
        <v>15000</v>
      </c>
      <c r="L125" s="35">
        <f t="shared" si="6"/>
        <v>0.19333333333333333</v>
      </c>
      <c r="M125" s="61">
        <f t="shared" si="7"/>
        <v>45108</v>
      </c>
      <c r="N125" s="24" t="str">
        <f>IF(D125&lt;&gt;"Cash Movements","Manual",IF(COUNTIF(Bank_IDR!$J$8:$J$71,E125)+COUNTIF(Bank_USD!$J$8:$J$60,E125)&gt;0,"Matched","Unmatched"))</f>
        <v>Matched</v>
      </c>
      <c r="O125" s="6" t="s">
        <v>721</v>
      </c>
      <c r="P125" s="50" t="s">
        <v>607</v>
      </c>
      <c r="Q125" s="6">
        <v>120</v>
      </c>
    </row>
    <row r="126" spans="1:17" ht="24">
      <c r="A126" s="6" t="s">
        <v>952</v>
      </c>
      <c r="B126" s="9">
        <v>45138.468055555553</v>
      </c>
      <c r="C126" s="6" t="s">
        <v>795</v>
      </c>
      <c r="D126" s="6" t="s">
        <v>796</v>
      </c>
      <c r="E126" s="6" t="s">
        <v>608</v>
      </c>
      <c r="F126" s="6" t="s">
        <v>498</v>
      </c>
      <c r="G126" s="6" t="s">
        <v>301</v>
      </c>
      <c r="H126" s="24" t="str">
        <f>IFERROR(INDEX(Inputs!$K$6:$K$24,MATCH(G126,Inputs!$J$6:$J$24,0)),"Unmapped")</f>
        <v>Architect Cost</v>
      </c>
      <c r="I126" s="21" t="s">
        <v>720</v>
      </c>
      <c r="J126" s="45">
        <v>159746395</v>
      </c>
      <c r="K126" s="58">
        <f>IFERROR(INDEX(Inputs!$H$6:$H$53,MATCH(M126,Inputs!$F$6:$F$53,0)),Inputs!$B$6)</f>
        <v>15000</v>
      </c>
      <c r="L126" s="35">
        <f t="shared" si="6"/>
        <v>10649.759666666667</v>
      </c>
      <c r="M126" s="61">
        <f t="shared" si="7"/>
        <v>45108</v>
      </c>
      <c r="N126" s="24" t="str">
        <f>IF(D126&lt;&gt;"Cash Movements","Manual",IF(COUNTIF(Bank_IDR!$J$8:$J$71,E126)+COUNTIF(Bank_USD!$J$8:$J$60,E126)&gt;0,"Matched","Unmatched"))</f>
        <v>Matched</v>
      </c>
      <c r="O126" s="6" t="s">
        <v>721</v>
      </c>
      <c r="P126" s="50" t="s">
        <v>607</v>
      </c>
      <c r="Q126" s="6">
        <v>121</v>
      </c>
    </row>
    <row r="127" spans="1:17">
      <c r="A127" s="6" t="s">
        <v>953</v>
      </c>
      <c r="B127" s="9">
        <v>45138.999305555553</v>
      </c>
      <c r="C127" s="6" t="s">
        <v>795</v>
      </c>
      <c r="D127" s="6" t="s">
        <v>796</v>
      </c>
      <c r="E127" s="6" t="s">
        <v>609</v>
      </c>
      <c r="F127" s="6" t="s">
        <v>358</v>
      </c>
      <c r="G127" s="6" t="s">
        <v>436</v>
      </c>
      <c r="H127" s="24" t="str">
        <f>IFERROR(INDEX(Inputs!$K$6:$K$24,MATCH(G127,Inputs!$J$6:$J$24,0)),"Unmapped")</f>
        <v>Withholding tax</v>
      </c>
      <c r="I127" s="21" t="s">
        <v>720</v>
      </c>
      <c r="J127" s="45">
        <v>5603.78</v>
      </c>
      <c r="K127" s="58">
        <f>IFERROR(INDEX(Inputs!$H$6:$H$53,MATCH(M127,Inputs!$F$6:$F$53,0)),Inputs!$B$6)</f>
        <v>15000</v>
      </c>
      <c r="L127" s="35">
        <f t="shared" si="6"/>
        <v>0.37358533333333332</v>
      </c>
      <c r="M127" s="61">
        <f t="shared" si="7"/>
        <v>45108</v>
      </c>
      <c r="N127" s="24" t="str">
        <f>IF(D127&lt;&gt;"Cash Movements","Manual",IF(COUNTIF(Bank_IDR!$J$8:$J$71,E127)+COUNTIF(Bank_USD!$J$8:$J$60,E127)&gt;0,"Matched","Unmatched"))</f>
        <v>Matched</v>
      </c>
      <c r="O127" s="6" t="s">
        <v>797</v>
      </c>
      <c r="P127" s="50" t="s">
        <v>565</v>
      </c>
      <c r="Q127" s="6">
        <v>122</v>
      </c>
    </row>
    <row r="128" spans="1:17">
      <c r="A128" s="6" t="s">
        <v>954</v>
      </c>
      <c r="B128" s="9">
        <v>45138.999305555553</v>
      </c>
      <c r="C128" s="6" t="s">
        <v>795</v>
      </c>
      <c r="D128" s="6" t="s">
        <v>796</v>
      </c>
      <c r="E128" s="6" t="s">
        <v>676</v>
      </c>
      <c r="F128" s="6" t="s">
        <v>358</v>
      </c>
      <c r="G128" s="6" t="s">
        <v>436</v>
      </c>
      <c r="H128" s="24" t="str">
        <f>IFERROR(INDEX(Inputs!$K$6:$K$24,MATCH(G128,Inputs!$J$6:$J$24,0)),"Unmapped")</f>
        <v>Withholding tax</v>
      </c>
      <c r="I128" s="21" t="s">
        <v>720</v>
      </c>
      <c r="J128" s="45">
        <v>100950</v>
      </c>
      <c r="K128" s="58">
        <f>IFERROR(INDEX(Inputs!$H$6:$H$53,MATCH(M128,Inputs!$F$6:$F$53,0)),Inputs!$B$6)</f>
        <v>15000</v>
      </c>
      <c r="L128" s="35">
        <f t="shared" si="6"/>
        <v>6.73</v>
      </c>
      <c r="M128" s="61">
        <f t="shared" si="7"/>
        <v>45108</v>
      </c>
      <c r="N128" s="24" t="str">
        <f>IF(D128&lt;&gt;"Cash Movements","Manual",IF(COUNTIF(Bank_IDR!$J$8:$J$71,E128)+COUNTIF(Bank_USD!$J$8:$J$60,E128)&gt;0,"Matched","Unmatched"))</f>
        <v>Matched</v>
      </c>
      <c r="O128" s="6" t="s">
        <v>797</v>
      </c>
      <c r="P128" s="50" t="s">
        <v>565</v>
      </c>
      <c r="Q128" s="6">
        <v>123</v>
      </c>
    </row>
    <row r="129" spans="1:17">
      <c r="A129" s="6" t="s">
        <v>955</v>
      </c>
      <c r="B129" s="9">
        <v>45139</v>
      </c>
      <c r="C129" s="6" t="s">
        <v>799</v>
      </c>
      <c r="D129" s="6" t="s">
        <v>799</v>
      </c>
      <c r="E129" s="6"/>
      <c r="F129" s="6" t="s">
        <v>533</v>
      </c>
      <c r="G129" s="6" t="s">
        <v>335</v>
      </c>
      <c r="H129" s="24" t="str">
        <f>IFERROR(INDEX(Inputs!$K$6:$K$24,MATCH(G129,Inputs!$J$6:$J$24,0)),"Unmapped")</f>
        <v>A&amp;G Allocation</v>
      </c>
      <c r="I129" s="21" t="s">
        <v>720</v>
      </c>
      <c r="J129" s="45">
        <v>412500000</v>
      </c>
      <c r="K129" s="58">
        <f>IFERROR(INDEX(Inputs!$H$6:$H$53,MATCH(M129,Inputs!$F$6:$F$53,0)),Inputs!$B$6)</f>
        <v>15000</v>
      </c>
      <c r="L129" s="35">
        <f t="shared" si="6"/>
        <v>27500</v>
      </c>
      <c r="M129" s="61">
        <f t="shared" si="7"/>
        <v>45139</v>
      </c>
      <c r="N129" s="24" t="str">
        <f>IF(D129&lt;&gt;"Cash Movements","Manual",IF(COUNTIF(Bank_IDR!$J$8:$J$71,E129)+COUNTIF(Bank_USD!$J$8:$J$60,E129)&gt;0,"Matched","Unmatched"))</f>
        <v>Manual</v>
      </c>
      <c r="O129" s="6" t="s">
        <v>797</v>
      </c>
      <c r="P129" s="50" t="s">
        <v>956</v>
      </c>
      <c r="Q129" s="6">
        <v>124</v>
      </c>
    </row>
    <row r="130" spans="1:17" ht="24">
      <c r="A130" s="6" t="s">
        <v>957</v>
      </c>
      <c r="B130" s="9">
        <v>45149.34375</v>
      </c>
      <c r="C130" s="6" t="s">
        <v>795</v>
      </c>
      <c r="D130" s="6" t="s">
        <v>796</v>
      </c>
      <c r="E130" s="6" t="s">
        <v>612</v>
      </c>
      <c r="F130" s="6" t="s">
        <v>502</v>
      </c>
      <c r="G130" s="6" t="s">
        <v>119</v>
      </c>
      <c r="H130" s="24" t="str">
        <f>IFERROR(INDEX(Inputs!$K$6:$K$24,MATCH(G130,Inputs!$J$6:$J$24,0)),"Unmapped")</f>
        <v>Project Management</v>
      </c>
      <c r="I130" s="21" t="s">
        <v>720</v>
      </c>
      <c r="J130" s="45">
        <v>2900</v>
      </c>
      <c r="K130" s="58">
        <f>IFERROR(INDEX(Inputs!$H$6:$H$53,MATCH(M130,Inputs!$F$6:$F$53,0)),Inputs!$B$6)</f>
        <v>15000</v>
      </c>
      <c r="L130" s="35">
        <f t="shared" si="6"/>
        <v>0.19333333333333333</v>
      </c>
      <c r="M130" s="61">
        <f t="shared" si="7"/>
        <v>45139</v>
      </c>
      <c r="N130" s="24" t="str">
        <f>IF(D130&lt;&gt;"Cash Movements","Manual",IF(COUNTIF(Bank_IDR!$J$8:$J$71,E130)+COUNTIF(Bank_USD!$J$8:$J$60,E130)&gt;0,"Matched","Unmatched"))</f>
        <v>Matched</v>
      </c>
      <c r="O130" s="6" t="s">
        <v>797</v>
      </c>
      <c r="P130" s="50" t="s">
        <v>611</v>
      </c>
      <c r="Q130" s="6">
        <v>125</v>
      </c>
    </row>
    <row r="131" spans="1:17" ht="24">
      <c r="A131" s="6" t="s">
        <v>958</v>
      </c>
      <c r="B131" s="9">
        <v>45149.34375</v>
      </c>
      <c r="C131" s="6" t="s">
        <v>795</v>
      </c>
      <c r="D131" s="6" t="s">
        <v>796</v>
      </c>
      <c r="E131" s="6" t="s">
        <v>612</v>
      </c>
      <c r="F131" s="6" t="s">
        <v>502</v>
      </c>
      <c r="G131" s="6" t="s">
        <v>119</v>
      </c>
      <c r="H131" s="24" t="str">
        <f>IFERROR(INDEX(Inputs!$K$6:$K$24,MATCH(G131,Inputs!$J$6:$J$24,0)),"Unmapped")</f>
        <v>Project Management</v>
      </c>
      <c r="I131" s="21" t="s">
        <v>720</v>
      </c>
      <c r="J131" s="45">
        <v>2900000</v>
      </c>
      <c r="K131" s="58">
        <f>IFERROR(INDEX(Inputs!$H$6:$H$53,MATCH(M131,Inputs!$F$6:$F$53,0)),Inputs!$B$6)</f>
        <v>15000</v>
      </c>
      <c r="L131" s="35">
        <f t="shared" si="6"/>
        <v>193.33333333333334</v>
      </c>
      <c r="M131" s="61">
        <f t="shared" si="7"/>
        <v>45139</v>
      </c>
      <c r="N131" s="24" t="str">
        <f>IF(D131&lt;&gt;"Cash Movements","Manual",IF(COUNTIF(Bank_IDR!$J$8:$J$71,E131)+COUNTIF(Bank_USD!$J$8:$J$60,E131)&gt;0,"Matched","Unmatched"))</f>
        <v>Matched</v>
      </c>
      <c r="O131" s="6" t="s">
        <v>721</v>
      </c>
      <c r="P131" s="50" t="s">
        <v>611</v>
      </c>
      <c r="Q131" s="6">
        <v>126</v>
      </c>
    </row>
    <row r="132" spans="1:17" ht="24">
      <c r="A132" s="6" t="s">
        <v>959</v>
      </c>
      <c r="B132" s="9">
        <v>45156.620138888888</v>
      </c>
      <c r="C132" s="6" t="s">
        <v>795</v>
      </c>
      <c r="D132" s="6" t="s">
        <v>796</v>
      </c>
      <c r="E132" s="6" t="s">
        <v>616</v>
      </c>
      <c r="F132" s="6" t="s">
        <v>482</v>
      </c>
      <c r="G132" s="6" t="s">
        <v>316</v>
      </c>
      <c r="H132" s="24" t="str">
        <f>IFERROR(INDEX(Inputs!$K$6:$K$24,MATCH(G132,Inputs!$J$6:$J$24,0)),"Unmapped")</f>
        <v>Notary</v>
      </c>
      <c r="I132" s="21" t="s">
        <v>720</v>
      </c>
      <c r="J132" s="45">
        <v>2900</v>
      </c>
      <c r="K132" s="58">
        <f>IFERROR(INDEX(Inputs!$H$6:$H$53,MATCH(M132,Inputs!$F$6:$F$53,0)),Inputs!$B$6)</f>
        <v>15000</v>
      </c>
      <c r="L132" s="35">
        <f t="shared" si="6"/>
        <v>0.19333333333333333</v>
      </c>
      <c r="M132" s="61">
        <f t="shared" si="7"/>
        <v>45139</v>
      </c>
      <c r="N132" s="24" t="str">
        <f>IF(D132&lt;&gt;"Cash Movements","Manual",IF(COUNTIF(Bank_IDR!$J$8:$J$71,E132)+COUNTIF(Bank_USD!$J$8:$J$60,E132)&gt;0,"Matched","Unmatched"))</f>
        <v>Matched</v>
      </c>
      <c r="O132" s="6" t="s">
        <v>797</v>
      </c>
      <c r="P132" s="50" t="s">
        <v>615</v>
      </c>
      <c r="Q132" s="6">
        <v>127</v>
      </c>
    </row>
    <row r="133" spans="1:17" ht="24">
      <c r="A133" s="6" t="s">
        <v>960</v>
      </c>
      <c r="B133" s="9">
        <v>45156.620138888888</v>
      </c>
      <c r="C133" s="6" t="s">
        <v>795</v>
      </c>
      <c r="D133" s="6" t="s">
        <v>796</v>
      </c>
      <c r="E133" s="6" t="s">
        <v>616</v>
      </c>
      <c r="F133" s="6" t="s">
        <v>482</v>
      </c>
      <c r="G133" s="6" t="s">
        <v>316</v>
      </c>
      <c r="H133" s="24" t="str">
        <f>IFERROR(INDEX(Inputs!$K$6:$K$24,MATCH(G133,Inputs!$J$6:$J$24,0)),"Unmapped")</f>
        <v>Notary</v>
      </c>
      <c r="I133" s="21" t="s">
        <v>720</v>
      </c>
      <c r="J133" s="45">
        <v>335000000</v>
      </c>
      <c r="K133" s="58">
        <f>IFERROR(INDEX(Inputs!$H$6:$H$53,MATCH(M133,Inputs!$F$6:$F$53,0)),Inputs!$B$6)</f>
        <v>15000</v>
      </c>
      <c r="L133" s="35">
        <f t="shared" si="6"/>
        <v>22333.333333333332</v>
      </c>
      <c r="M133" s="61">
        <f t="shared" si="7"/>
        <v>45139</v>
      </c>
      <c r="N133" s="24" t="str">
        <f>IF(D133&lt;&gt;"Cash Movements","Manual",IF(COUNTIF(Bank_IDR!$J$8:$J$71,E133)+COUNTIF(Bank_USD!$J$8:$J$60,E133)&gt;0,"Matched","Unmatched"))</f>
        <v>Matched</v>
      </c>
      <c r="O133" s="6" t="s">
        <v>721</v>
      </c>
      <c r="P133" s="50" t="s">
        <v>615</v>
      </c>
      <c r="Q133" s="6">
        <v>128</v>
      </c>
    </row>
    <row r="134" spans="1:17">
      <c r="A134" s="6" t="s">
        <v>961</v>
      </c>
      <c r="B134" s="9">
        <v>45158.999305555553</v>
      </c>
      <c r="C134" s="6" t="s">
        <v>795</v>
      </c>
      <c r="D134" s="6" t="s">
        <v>796</v>
      </c>
      <c r="E134" s="6" t="s">
        <v>617</v>
      </c>
      <c r="F134" s="6" t="s">
        <v>506</v>
      </c>
      <c r="G134" s="6" t="s">
        <v>360</v>
      </c>
      <c r="H134" s="24" t="str">
        <f>IFERROR(INDEX(Inputs!$K$6:$K$24,MATCH(G134,Inputs!$J$6:$J$24,0)),"Unmapped")</f>
        <v>Miscellaneous</v>
      </c>
      <c r="I134" s="21" t="s">
        <v>720</v>
      </c>
      <c r="J134" s="45">
        <v>30000</v>
      </c>
      <c r="K134" s="58">
        <f>IFERROR(INDEX(Inputs!$H$6:$H$53,MATCH(M134,Inputs!$F$6:$F$53,0)),Inputs!$B$6)</f>
        <v>15000</v>
      </c>
      <c r="L134" s="35">
        <f t="shared" si="6"/>
        <v>2</v>
      </c>
      <c r="M134" s="61">
        <f t="shared" si="7"/>
        <v>45139</v>
      </c>
      <c r="N134" s="24" t="str">
        <f>IF(D134&lt;&gt;"Cash Movements","Manual",IF(COUNTIF(Bank_IDR!$J$8:$J$71,E134)+COUNTIF(Bank_USD!$J$8:$J$60,E134)&gt;0,"Matched","Unmatched"))</f>
        <v>Matched</v>
      </c>
      <c r="O134" s="6" t="s">
        <v>797</v>
      </c>
      <c r="P134" s="50" t="s">
        <v>576</v>
      </c>
      <c r="Q134" s="6">
        <v>129</v>
      </c>
    </row>
    <row r="135" spans="1:17">
      <c r="A135" s="6" t="s">
        <v>962</v>
      </c>
      <c r="B135" s="9">
        <v>45158.999305555553</v>
      </c>
      <c r="C135" s="6" t="s">
        <v>795</v>
      </c>
      <c r="D135" s="6" t="s">
        <v>796</v>
      </c>
      <c r="E135" s="6" t="s">
        <v>679</v>
      </c>
      <c r="F135" s="6" t="s">
        <v>506</v>
      </c>
      <c r="G135" s="6" t="s">
        <v>360</v>
      </c>
      <c r="H135" s="24" t="str">
        <f>IFERROR(INDEX(Inputs!$K$6:$K$24,MATCH(G135,Inputs!$J$6:$J$24,0)),"Unmapped")</f>
        <v>Miscellaneous</v>
      </c>
      <c r="I135" s="21" t="s">
        <v>720</v>
      </c>
      <c r="J135" s="45">
        <v>75000</v>
      </c>
      <c r="K135" s="58">
        <f>IFERROR(INDEX(Inputs!$H$6:$H$53,MATCH(M135,Inputs!$F$6:$F$53,0)),Inputs!$B$6)</f>
        <v>15000</v>
      </c>
      <c r="L135" s="35">
        <f t="shared" ref="L135:L163" si="8">J135/K135</f>
        <v>5</v>
      </c>
      <c r="M135" s="61">
        <f t="shared" ref="M135:M163" si="9">DATE(YEAR(B135),MONTH(B135),1)</f>
        <v>45139</v>
      </c>
      <c r="N135" s="24" t="str">
        <f>IF(D135&lt;&gt;"Cash Movements","Manual",IF(COUNTIF(Bank_IDR!$J$8:$J$71,E135)+COUNTIF(Bank_USD!$J$8:$J$60,E135)&gt;0,"Matched","Unmatched"))</f>
        <v>Matched</v>
      </c>
      <c r="O135" s="6" t="s">
        <v>797</v>
      </c>
      <c r="P135" s="50" t="s">
        <v>576</v>
      </c>
      <c r="Q135" s="6">
        <v>130</v>
      </c>
    </row>
    <row r="136" spans="1:17">
      <c r="A136" s="6" t="s">
        <v>963</v>
      </c>
      <c r="B136" s="9">
        <v>45169.999305555553</v>
      </c>
      <c r="C136" s="6" t="s">
        <v>795</v>
      </c>
      <c r="D136" s="6" t="s">
        <v>796</v>
      </c>
      <c r="E136" s="6" t="s">
        <v>618</v>
      </c>
      <c r="F136" s="6" t="s">
        <v>358</v>
      </c>
      <c r="G136" s="6" t="s">
        <v>436</v>
      </c>
      <c r="H136" s="24" t="str">
        <f>IFERROR(INDEX(Inputs!$K$6:$K$24,MATCH(G136,Inputs!$J$6:$J$24,0)),"Unmapped")</f>
        <v>Withholding tax</v>
      </c>
      <c r="I136" s="21" t="s">
        <v>720</v>
      </c>
      <c r="J136" s="45">
        <v>1193.27</v>
      </c>
      <c r="K136" s="58">
        <f>IFERROR(INDEX(Inputs!$H$6:$H$53,MATCH(M136,Inputs!$F$6:$F$53,0)),Inputs!$B$6)</f>
        <v>15000</v>
      </c>
      <c r="L136" s="35">
        <f t="shared" si="8"/>
        <v>7.9551333333333335E-2</v>
      </c>
      <c r="M136" s="61">
        <f t="shared" si="9"/>
        <v>45139</v>
      </c>
      <c r="N136" s="24" t="str">
        <f>IF(D136&lt;&gt;"Cash Movements","Manual",IF(COUNTIF(Bank_IDR!$J$8:$J$71,E136)+COUNTIF(Bank_USD!$J$8:$J$60,E136)&gt;0,"Matched","Unmatched"))</f>
        <v>Matched</v>
      </c>
      <c r="O136" s="6" t="s">
        <v>797</v>
      </c>
      <c r="P136" s="50" t="s">
        <v>565</v>
      </c>
      <c r="Q136" s="6">
        <v>131</v>
      </c>
    </row>
    <row r="137" spans="1:17">
      <c r="A137" s="6" t="s">
        <v>964</v>
      </c>
      <c r="B137" s="9">
        <v>45169.999305555553</v>
      </c>
      <c r="C137" s="6" t="s">
        <v>795</v>
      </c>
      <c r="D137" s="6" t="s">
        <v>796</v>
      </c>
      <c r="E137" s="6" t="s">
        <v>680</v>
      </c>
      <c r="F137" s="6" t="s">
        <v>358</v>
      </c>
      <c r="G137" s="6" t="s">
        <v>436</v>
      </c>
      <c r="H137" s="24" t="str">
        <f>IFERROR(INDEX(Inputs!$K$6:$K$24,MATCH(G137,Inputs!$J$6:$J$24,0)),"Unmapped")</f>
        <v>Withholding tax</v>
      </c>
      <c r="I137" s="21" t="s">
        <v>720</v>
      </c>
      <c r="J137" s="45">
        <v>93750</v>
      </c>
      <c r="K137" s="58">
        <f>IFERROR(INDEX(Inputs!$H$6:$H$53,MATCH(M137,Inputs!$F$6:$F$53,0)),Inputs!$B$6)</f>
        <v>15000</v>
      </c>
      <c r="L137" s="35">
        <f t="shared" si="8"/>
        <v>6.25</v>
      </c>
      <c r="M137" s="61">
        <f t="shared" si="9"/>
        <v>45139</v>
      </c>
      <c r="N137" s="24" t="str">
        <f>IF(D137&lt;&gt;"Cash Movements","Manual",IF(COUNTIF(Bank_IDR!$J$8:$J$71,E137)+COUNTIF(Bank_USD!$J$8:$J$60,E137)&gt;0,"Matched","Unmatched"))</f>
        <v>Matched</v>
      </c>
      <c r="O137" s="6" t="s">
        <v>797</v>
      </c>
      <c r="P137" s="50" t="s">
        <v>565</v>
      </c>
      <c r="Q137" s="6">
        <v>132</v>
      </c>
    </row>
    <row r="138" spans="1:17">
      <c r="A138" s="6" t="s">
        <v>965</v>
      </c>
      <c r="B138" s="9">
        <v>45170</v>
      </c>
      <c r="C138" s="6" t="s">
        <v>799</v>
      </c>
      <c r="D138" s="6" t="s">
        <v>799</v>
      </c>
      <c r="E138" s="6"/>
      <c r="F138" s="6" t="s">
        <v>533</v>
      </c>
      <c r="G138" s="6" t="s">
        <v>335</v>
      </c>
      <c r="H138" s="24" t="str">
        <f>IFERROR(INDEX(Inputs!$K$6:$K$24,MATCH(G138,Inputs!$J$6:$J$24,0)),"Unmapped")</f>
        <v>A&amp;G Allocation</v>
      </c>
      <c r="I138" s="21" t="s">
        <v>720</v>
      </c>
      <c r="J138" s="45">
        <v>412500000</v>
      </c>
      <c r="K138" s="58">
        <f>IFERROR(INDEX(Inputs!$H$6:$H$53,MATCH(M138,Inputs!$F$6:$F$53,0)),Inputs!$B$6)</f>
        <v>15000</v>
      </c>
      <c r="L138" s="35">
        <f t="shared" si="8"/>
        <v>27500</v>
      </c>
      <c r="M138" s="61">
        <f t="shared" si="9"/>
        <v>45170</v>
      </c>
      <c r="N138" s="24" t="str">
        <f>IF(D138&lt;&gt;"Cash Movements","Manual",IF(COUNTIF(Bank_IDR!$J$8:$J$71,E138)+COUNTIF(Bank_USD!$J$8:$J$60,E138)&gt;0,"Matched","Unmatched"))</f>
        <v>Manual</v>
      </c>
      <c r="O138" s="6" t="s">
        <v>797</v>
      </c>
      <c r="P138" s="50" t="s">
        <v>966</v>
      </c>
      <c r="Q138" s="6">
        <v>133</v>
      </c>
    </row>
    <row r="139" spans="1:17">
      <c r="A139" s="6" t="s">
        <v>967</v>
      </c>
      <c r="B139" s="9">
        <v>45189.999305555553</v>
      </c>
      <c r="C139" s="6" t="s">
        <v>560</v>
      </c>
      <c r="D139" s="6" t="s">
        <v>796</v>
      </c>
      <c r="E139" s="6" t="s">
        <v>620</v>
      </c>
      <c r="F139" s="6" t="s">
        <v>506</v>
      </c>
      <c r="G139" s="6" t="s">
        <v>360</v>
      </c>
      <c r="H139" s="24" t="str">
        <f>IFERROR(INDEX(Inputs!$K$6:$K$24,MATCH(G139,Inputs!$J$6:$J$24,0)),"Unmapped")</f>
        <v>Miscellaneous</v>
      </c>
      <c r="I139" s="21" t="s">
        <v>720</v>
      </c>
      <c r="J139" s="45">
        <v>30000</v>
      </c>
      <c r="K139" s="58">
        <f>IFERROR(INDEX(Inputs!$H$6:$H$53,MATCH(M139,Inputs!$F$6:$F$53,0)),Inputs!$B$6)</f>
        <v>15000</v>
      </c>
      <c r="L139" s="35">
        <f t="shared" si="8"/>
        <v>2</v>
      </c>
      <c r="M139" s="61">
        <f t="shared" si="9"/>
        <v>45170</v>
      </c>
      <c r="N139" s="24" t="str">
        <f>IF(D139&lt;&gt;"Cash Movements","Manual",IF(COUNTIF(Bank_IDR!$J$8:$J$71,E139)+COUNTIF(Bank_USD!$J$8:$J$60,E139)&gt;0,"Matched","Unmatched"))</f>
        <v>Matched</v>
      </c>
      <c r="O139" s="6" t="s">
        <v>797</v>
      </c>
      <c r="P139" s="50"/>
      <c r="Q139" s="6">
        <v>134</v>
      </c>
    </row>
    <row r="140" spans="1:17">
      <c r="A140" s="6" t="s">
        <v>968</v>
      </c>
      <c r="B140" s="9">
        <v>45189.999305555553</v>
      </c>
      <c r="C140" s="6" t="s">
        <v>642</v>
      </c>
      <c r="D140" s="6" t="s">
        <v>796</v>
      </c>
      <c r="E140" s="6" t="s">
        <v>682</v>
      </c>
      <c r="F140" s="6" t="s">
        <v>506</v>
      </c>
      <c r="G140" s="6" t="s">
        <v>360</v>
      </c>
      <c r="H140" s="24" t="str">
        <f>IFERROR(INDEX(Inputs!$K$6:$K$24,MATCH(G140,Inputs!$J$6:$J$24,0)),"Unmapped")</f>
        <v>Miscellaneous</v>
      </c>
      <c r="I140" s="21" t="s">
        <v>720</v>
      </c>
      <c r="J140" s="45">
        <v>75000</v>
      </c>
      <c r="K140" s="58">
        <f>IFERROR(INDEX(Inputs!$H$6:$H$53,MATCH(M140,Inputs!$F$6:$F$53,0)),Inputs!$B$6)</f>
        <v>15000</v>
      </c>
      <c r="L140" s="35">
        <f t="shared" si="8"/>
        <v>5</v>
      </c>
      <c r="M140" s="61">
        <f t="shared" si="9"/>
        <v>45170</v>
      </c>
      <c r="N140" s="24" t="str">
        <f>IF(D140&lt;&gt;"Cash Movements","Manual",IF(COUNTIF(Bank_IDR!$J$8:$J$71,E140)+COUNTIF(Bank_USD!$J$8:$J$60,E140)&gt;0,"Matched","Unmatched"))</f>
        <v>Matched</v>
      </c>
      <c r="O140" s="6" t="s">
        <v>797</v>
      </c>
      <c r="P140" s="50"/>
      <c r="Q140" s="6">
        <v>135</v>
      </c>
    </row>
    <row r="141" spans="1:17">
      <c r="A141" s="6" t="s">
        <v>969</v>
      </c>
      <c r="B141" s="9">
        <v>45190.343055555553</v>
      </c>
      <c r="C141" s="6" t="s">
        <v>560</v>
      </c>
      <c r="D141" s="6" t="s">
        <v>796</v>
      </c>
      <c r="E141" s="6" t="s">
        <v>622</v>
      </c>
      <c r="F141" s="6" t="s">
        <v>490</v>
      </c>
      <c r="G141" s="6" t="s">
        <v>319</v>
      </c>
      <c r="H141" s="24" t="str">
        <f>IFERROR(INDEX(Inputs!$K$6:$K$24,MATCH(G141,Inputs!$J$6:$J$24,0)),"Unmapped")</f>
        <v>Tax &amp; legal advice</v>
      </c>
      <c r="I141" s="21" t="s">
        <v>720</v>
      </c>
      <c r="J141" s="45">
        <v>2900</v>
      </c>
      <c r="K141" s="58">
        <f>IFERROR(INDEX(Inputs!$H$6:$H$53,MATCH(M141,Inputs!$F$6:$F$53,0)),Inputs!$B$6)</f>
        <v>15000</v>
      </c>
      <c r="L141" s="35">
        <f t="shared" si="8"/>
        <v>0.19333333333333333</v>
      </c>
      <c r="M141" s="61">
        <f t="shared" si="9"/>
        <v>45170</v>
      </c>
      <c r="N141" s="24" t="str">
        <f>IF(D141&lt;&gt;"Cash Movements","Manual",IF(COUNTIF(Bank_IDR!$J$8:$J$71,E141)+COUNTIF(Bank_USD!$J$8:$J$60,E141)&gt;0,"Matched","Unmatched"))</f>
        <v>Matched</v>
      </c>
      <c r="O141" s="6" t="s">
        <v>797</v>
      </c>
      <c r="P141" s="50"/>
      <c r="Q141" s="6">
        <v>136</v>
      </c>
    </row>
    <row r="142" spans="1:17">
      <c r="A142" s="6" t="s">
        <v>970</v>
      </c>
      <c r="B142" s="9">
        <v>45190.343055555553</v>
      </c>
      <c r="C142" s="6" t="s">
        <v>560</v>
      </c>
      <c r="D142" s="6" t="s">
        <v>796</v>
      </c>
      <c r="E142" s="6" t="s">
        <v>622</v>
      </c>
      <c r="F142" s="6" t="s">
        <v>490</v>
      </c>
      <c r="G142" s="6" t="s">
        <v>319</v>
      </c>
      <c r="H142" s="24" t="str">
        <f>IFERROR(INDEX(Inputs!$K$6:$K$24,MATCH(G142,Inputs!$J$6:$J$24,0)),"Unmapped")</f>
        <v>Tax &amp; legal advice</v>
      </c>
      <c r="I142" s="21" t="s">
        <v>720</v>
      </c>
      <c r="J142" s="45">
        <v>53183553</v>
      </c>
      <c r="K142" s="58">
        <f>IFERROR(INDEX(Inputs!$H$6:$H$53,MATCH(M142,Inputs!$F$6:$F$53,0)),Inputs!$B$6)</f>
        <v>15000</v>
      </c>
      <c r="L142" s="35">
        <f t="shared" si="8"/>
        <v>3545.5702000000001</v>
      </c>
      <c r="M142" s="61">
        <f t="shared" si="9"/>
        <v>45170</v>
      </c>
      <c r="N142" s="24" t="str">
        <f>IF(D142&lt;&gt;"Cash Movements","Manual",IF(COUNTIF(Bank_IDR!$J$8:$J$71,E142)+COUNTIF(Bank_USD!$J$8:$J$60,E142)&gt;0,"Matched","Unmatched"))</f>
        <v>Matched</v>
      </c>
      <c r="O142" s="6" t="s">
        <v>797</v>
      </c>
      <c r="P142" s="50"/>
      <c r="Q142" s="6">
        <v>137</v>
      </c>
    </row>
    <row r="143" spans="1:17">
      <c r="A143" s="6" t="s">
        <v>971</v>
      </c>
      <c r="B143" s="9">
        <v>45199.999305555553</v>
      </c>
      <c r="C143" s="6" t="s">
        <v>642</v>
      </c>
      <c r="D143" s="6" t="s">
        <v>796</v>
      </c>
      <c r="E143" s="6" t="s">
        <v>683</v>
      </c>
      <c r="F143" s="6" t="s">
        <v>358</v>
      </c>
      <c r="G143" s="6" t="s">
        <v>436</v>
      </c>
      <c r="H143" s="24" t="str">
        <f>IFERROR(INDEX(Inputs!$K$6:$K$24,MATCH(G143,Inputs!$J$6:$J$24,0)),"Unmapped")</f>
        <v>Withholding tax</v>
      </c>
      <c r="I143" s="21" t="s">
        <v>720</v>
      </c>
      <c r="J143" s="45">
        <v>86700</v>
      </c>
      <c r="K143" s="58">
        <f>IFERROR(INDEX(Inputs!$H$6:$H$53,MATCH(M143,Inputs!$F$6:$F$53,0)),Inputs!$B$6)</f>
        <v>15000</v>
      </c>
      <c r="L143" s="35">
        <f t="shared" si="8"/>
        <v>5.78</v>
      </c>
      <c r="M143" s="61">
        <f t="shared" si="9"/>
        <v>45170</v>
      </c>
      <c r="N143" s="24" t="str">
        <f>IF(D143&lt;&gt;"Cash Movements","Manual",IF(COUNTIF(Bank_IDR!$J$8:$J$71,E143)+COUNTIF(Bank_USD!$J$8:$J$60,E143)&gt;0,"Matched","Unmatched"))</f>
        <v>Matched</v>
      </c>
      <c r="O143" s="6" t="s">
        <v>797</v>
      </c>
      <c r="P143" s="50"/>
      <c r="Q143" s="6">
        <v>138</v>
      </c>
    </row>
    <row r="144" spans="1:17">
      <c r="A144" s="6" t="s">
        <v>972</v>
      </c>
      <c r="B144" s="9">
        <v>45200</v>
      </c>
      <c r="C144" s="6" t="s">
        <v>799</v>
      </c>
      <c r="D144" s="6" t="s">
        <v>799</v>
      </c>
      <c r="E144" s="6"/>
      <c r="F144" s="6" t="s">
        <v>533</v>
      </c>
      <c r="G144" s="6" t="s">
        <v>335</v>
      </c>
      <c r="H144" s="24" t="str">
        <f>IFERROR(INDEX(Inputs!$K$6:$K$24,MATCH(G144,Inputs!$J$6:$J$24,0)),"Unmapped")</f>
        <v>A&amp;G Allocation</v>
      </c>
      <c r="I144" s="21" t="s">
        <v>720</v>
      </c>
      <c r="J144" s="45">
        <v>412500000</v>
      </c>
      <c r="K144" s="58">
        <f>IFERROR(INDEX(Inputs!$H$6:$H$53,MATCH(M144,Inputs!$F$6:$F$53,0)),Inputs!$B$6)</f>
        <v>15000</v>
      </c>
      <c r="L144" s="35">
        <f t="shared" si="8"/>
        <v>27500</v>
      </c>
      <c r="M144" s="61">
        <f t="shared" si="9"/>
        <v>45200</v>
      </c>
      <c r="N144" s="24" t="str">
        <f>IF(D144&lt;&gt;"Cash Movements","Manual",IF(COUNTIF(Bank_IDR!$J$8:$J$71,E144)+COUNTIF(Bank_USD!$J$8:$J$60,E144)&gt;0,"Matched","Unmatched"))</f>
        <v>Manual</v>
      </c>
      <c r="O144" s="6" t="s">
        <v>797</v>
      </c>
      <c r="P144" s="50" t="s">
        <v>973</v>
      </c>
      <c r="Q144" s="6">
        <v>139</v>
      </c>
    </row>
    <row r="145" spans="1:17" ht="24">
      <c r="A145" s="6" t="s">
        <v>974</v>
      </c>
      <c r="B145" s="9">
        <v>45202.340277777781</v>
      </c>
      <c r="C145" s="6" t="s">
        <v>560</v>
      </c>
      <c r="D145" s="6" t="s">
        <v>796</v>
      </c>
      <c r="E145" s="6" t="s">
        <v>624</v>
      </c>
      <c r="F145" s="6" t="s">
        <v>494</v>
      </c>
      <c r="G145" s="6" t="s">
        <v>312</v>
      </c>
      <c r="H145" s="24" t="str">
        <f>IFERROR(INDEX(Inputs!$K$6:$K$24,MATCH(G145,Inputs!$J$6:$J$24,0)),"Unmapped")</f>
        <v>MEP Consultant</v>
      </c>
      <c r="I145" s="21" t="s">
        <v>720</v>
      </c>
      <c r="J145" s="45">
        <v>2900</v>
      </c>
      <c r="K145" s="58">
        <f>IFERROR(INDEX(Inputs!$H$6:$H$53,MATCH(M145,Inputs!$F$6:$F$53,0)),Inputs!$B$6)</f>
        <v>15000</v>
      </c>
      <c r="L145" s="35">
        <f t="shared" si="8"/>
        <v>0.19333333333333333</v>
      </c>
      <c r="M145" s="61">
        <f t="shared" si="9"/>
        <v>45200</v>
      </c>
      <c r="N145" s="24" t="str">
        <f>IF(D145&lt;&gt;"Cash Movements","Manual",IF(COUNTIF(Bank_IDR!$J$8:$J$71,E145)+COUNTIF(Bank_USD!$J$8:$J$60,E145)&gt;0,"Matched","Unmatched"))</f>
        <v>Matched</v>
      </c>
      <c r="O145" s="6" t="s">
        <v>797</v>
      </c>
      <c r="P145" s="50" t="s">
        <v>623</v>
      </c>
      <c r="Q145" s="6">
        <v>140</v>
      </c>
    </row>
    <row r="146" spans="1:17" ht="24">
      <c r="A146" s="6" t="s">
        <v>975</v>
      </c>
      <c r="B146" s="9">
        <v>45202.340277777781</v>
      </c>
      <c r="C146" s="6" t="s">
        <v>560</v>
      </c>
      <c r="D146" s="6" t="s">
        <v>796</v>
      </c>
      <c r="E146" s="6" t="s">
        <v>624</v>
      </c>
      <c r="F146" s="6" t="s">
        <v>494</v>
      </c>
      <c r="G146" s="6" t="s">
        <v>312</v>
      </c>
      <c r="H146" s="24" t="str">
        <f>IFERROR(INDEX(Inputs!$K$6:$K$24,MATCH(G146,Inputs!$J$6:$J$24,0)),"Unmapped")</f>
        <v>MEP Consultant</v>
      </c>
      <c r="I146" s="21" t="s">
        <v>720</v>
      </c>
      <c r="J146" s="45">
        <v>3225000</v>
      </c>
      <c r="K146" s="58">
        <f>IFERROR(INDEX(Inputs!$H$6:$H$53,MATCH(M146,Inputs!$F$6:$F$53,0)),Inputs!$B$6)</f>
        <v>15000</v>
      </c>
      <c r="L146" s="35">
        <f t="shared" si="8"/>
        <v>215</v>
      </c>
      <c r="M146" s="61">
        <f t="shared" si="9"/>
        <v>45200</v>
      </c>
      <c r="N146" s="24" t="str">
        <f>IF(D146&lt;&gt;"Cash Movements","Manual",IF(COUNTIF(Bank_IDR!$J$8:$J$71,E146)+COUNTIF(Bank_USD!$J$8:$J$60,E146)&gt;0,"Matched","Unmatched"))</f>
        <v>Matched</v>
      </c>
      <c r="O146" s="6" t="s">
        <v>721</v>
      </c>
      <c r="P146" s="50" t="s">
        <v>623</v>
      </c>
      <c r="Q146" s="6">
        <v>141</v>
      </c>
    </row>
    <row r="147" spans="1:17" ht="24">
      <c r="A147" s="6" t="s">
        <v>976</v>
      </c>
      <c r="B147" s="9">
        <v>45215.341666666667</v>
      </c>
      <c r="C147" s="6" t="s">
        <v>560</v>
      </c>
      <c r="D147" s="6" t="s">
        <v>796</v>
      </c>
      <c r="E147" s="6" t="s">
        <v>628</v>
      </c>
      <c r="F147" s="6" t="s">
        <v>494</v>
      </c>
      <c r="G147" s="6" t="s">
        <v>312</v>
      </c>
      <c r="H147" s="24" t="str">
        <f>IFERROR(INDEX(Inputs!$K$6:$K$24,MATCH(G147,Inputs!$J$6:$J$24,0)),"Unmapped")</f>
        <v>MEP Consultant</v>
      </c>
      <c r="I147" s="21" t="s">
        <v>720</v>
      </c>
      <c r="J147" s="45">
        <v>2900</v>
      </c>
      <c r="K147" s="58">
        <f>IFERROR(INDEX(Inputs!$H$6:$H$53,MATCH(M147,Inputs!$F$6:$F$53,0)),Inputs!$B$6)</f>
        <v>15000</v>
      </c>
      <c r="L147" s="35">
        <f t="shared" si="8"/>
        <v>0.19333333333333333</v>
      </c>
      <c r="M147" s="61">
        <f t="shared" si="9"/>
        <v>45200</v>
      </c>
      <c r="N147" s="24" t="str">
        <f>IF(D147&lt;&gt;"Cash Movements","Manual",IF(COUNTIF(Bank_IDR!$J$8:$J$71,E147)+COUNTIF(Bank_USD!$J$8:$J$60,E147)&gt;0,"Matched","Unmatched"))</f>
        <v>Matched</v>
      </c>
      <c r="O147" s="6" t="s">
        <v>797</v>
      </c>
      <c r="P147" s="50" t="s">
        <v>627</v>
      </c>
      <c r="Q147" s="6">
        <v>142</v>
      </c>
    </row>
    <row r="148" spans="1:17" ht="24">
      <c r="A148" s="6" t="s">
        <v>977</v>
      </c>
      <c r="B148" s="9">
        <v>45215.341666666667</v>
      </c>
      <c r="C148" s="6" t="s">
        <v>560</v>
      </c>
      <c r="D148" s="6" t="s">
        <v>796</v>
      </c>
      <c r="E148" s="6" t="s">
        <v>628</v>
      </c>
      <c r="F148" s="6" t="s">
        <v>494</v>
      </c>
      <c r="G148" s="6" t="s">
        <v>312</v>
      </c>
      <c r="H148" s="24" t="str">
        <f>IFERROR(INDEX(Inputs!$K$6:$K$24,MATCH(G148,Inputs!$J$6:$J$24,0)),"Unmapped")</f>
        <v>MEP Consultant</v>
      </c>
      <c r="I148" s="21" t="s">
        <v>720</v>
      </c>
      <c r="J148" s="45">
        <v>72508750</v>
      </c>
      <c r="K148" s="58">
        <f>IFERROR(INDEX(Inputs!$H$6:$H$53,MATCH(M148,Inputs!$F$6:$F$53,0)),Inputs!$B$6)</f>
        <v>15000</v>
      </c>
      <c r="L148" s="35">
        <f t="shared" si="8"/>
        <v>4833.916666666667</v>
      </c>
      <c r="M148" s="61">
        <f t="shared" si="9"/>
        <v>45200</v>
      </c>
      <c r="N148" s="24" t="str">
        <f>IF(D148&lt;&gt;"Cash Movements","Manual",IF(COUNTIF(Bank_IDR!$J$8:$J$71,E148)+COUNTIF(Bank_USD!$J$8:$J$60,E148)&gt;0,"Matched","Unmatched"))</f>
        <v>Matched</v>
      </c>
      <c r="O148" s="6" t="s">
        <v>721</v>
      </c>
      <c r="P148" s="50" t="s">
        <v>627</v>
      </c>
      <c r="Q148" s="6">
        <v>143</v>
      </c>
    </row>
    <row r="149" spans="1:17">
      <c r="A149" s="6" t="s">
        <v>978</v>
      </c>
      <c r="B149" s="9">
        <v>45219.999305555553</v>
      </c>
      <c r="C149" s="6" t="s">
        <v>642</v>
      </c>
      <c r="D149" s="6" t="s">
        <v>796</v>
      </c>
      <c r="E149" s="6" t="s">
        <v>686</v>
      </c>
      <c r="F149" s="6" t="s">
        <v>506</v>
      </c>
      <c r="G149" s="6" t="s">
        <v>360</v>
      </c>
      <c r="H149" s="24" t="str">
        <f>IFERROR(INDEX(Inputs!$K$6:$K$24,MATCH(G149,Inputs!$J$6:$J$24,0)),"Unmapped")</f>
        <v>Miscellaneous</v>
      </c>
      <c r="I149" s="21" t="s">
        <v>720</v>
      </c>
      <c r="J149" s="45">
        <v>75000</v>
      </c>
      <c r="K149" s="58">
        <f>IFERROR(INDEX(Inputs!$H$6:$H$53,MATCH(M149,Inputs!$F$6:$F$53,0)),Inputs!$B$6)</f>
        <v>15000</v>
      </c>
      <c r="L149" s="35">
        <f t="shared" si="8"/>
        <v>5</v>
      </c>
      <c r="M149" s="61">
        <f t="shared" si="9"/>
        <v>45200</v>
      </c>
      <c r="N149" s="24" t="str">
        <f>IF(D149&lt;&gt;"Cash Movements","Manual",IF(COUNTIF(Bank_IDR!$J$8:$J$71,E149)+COUNTIF(Bank_USD!$J$8:$J$60,E149)&gt;0,"Matched","Unmatched"))</f>
        <v>Matched</v>
      </c>
      <c r="O149" s="6" t="s">
        <v>797</v>
      </c>
      <c r="P149" s="50" t="s">
        <v>576</v>
      </c>
      <c r="Q149" s="6">
        <v>144</v>
      </c>
    </row>
    <row r="150" spans="1:17">
      <c r="A150" s="6" t="s">
        <v>979</v>
      </c>
      <c r="B150" s="9">
        <v>45219.999305555553</v>
      </c>
      <c r="C150" s="6" t="s">
        <v>560</v>
      </c>
      <c r="D150" s="6" t="s">
        <v>796</v>
      </c>
      <c r="E150" s="6" t="s">
        <v>630</v>
      </c>
      <c r="F150" s="6" t="s">
        <v>506</v>
      </c>
      <c r="G150" s="6" t="s">
        <v>360</v>
      </c>
      <c r="H150" s="24" t="str">
        <f>IFERROR(INDEX(Inputs!$K$6:$K$24,MATCH(G150,Inputs!$J$6:$J$24,0)),"Unmapped")</f>
        <v>Miscellaneous</v>
      </c>
      <c r="I150" s="21" t="s">
        <v>720</v>
      </c>
      <c r="J150" s="45">
        <v>30000</v>
      </c>
      <c r="K150" s="58">
        <f>IFERROR(INDEX(Inputs!$H$6:$H$53,MATCH(M150,Inputs!$F$6:$F$53,0)),Inputs!$B$6)</f>
        <v>15000</v>
      </c>
      <c r="L150" s="35">
        <f t="shared" si="8"/>
        <v>2</v>
      </c>
      <c r="M150" s="61">
        <f t="shared" si="9"/>
        <v>45200</v>
      </c>
      <c r="N150" s="24" t="str">
        <f>IF(D150&lt;&gt;"Cash Movements","Manual",IF(COUNTIF(Bank_IDR!$J$8:$J$71,E150)+COUNTIF(Bank_USD!$J$8:$J$60,E150)&gt;0,"Matched","Unmatched"))</f>
        <v>Matched</v>
      </c>
      <c r="O150" s="6" t="s">
        <v>797</v>
      </c>
      <c r="P150" s="50" t="s">
        <v>576</v>
      </c>
      <c r="Q150" s="6">
        <v>145</v>
      </c>
    </row>
    <row r="151" spans="1:17" ht="24">
      <c r="A151" s="6" t="s">
        <v>980</v>
      </c>
      <c r="B151" s="9">
        <v>45229.523611099539</v>
      </c>
      <c r="C151" s="6" t="s">
        <v>642</v>
      </c>
      <c r="D151" s="6" t="s">
        <v>796</v>
      </c>
      <c r="E151" s="6" t="s">
        <v>688</v>
      </c>
      <c r="F151" s="6" t="s">
        <v>484</v>
      </c>
      <c r="G151" s="6" t="s">
        <v>400</v>
      </c>
      <c r="H151" s="24" t="str">
        <f>IFERROR(INDEX(Inputs!$K$6:$K$24,MATCH(G151,Inputs!$J$6:$J$24,0)),"Unmapped")</f>
        <v>Interior Designer</v>
      </c>
      <c r="I151" s="21" t="s">
        <v>720</v>
      </c>
      <c r="J151" s="45">
        <v>379800</v>
      </c>
      <c r="K151" s="58">
        <f>IFERROR(INDEX(Inputs!$H$6:$H$53,MATCH(M151,Inputs!$F$6:$F$53,0)),Inputs!$B$6)</f>
        <v>15000</v>
      </c>
      <c r="L151" s="35">
        <f t="shared" si="8"/>
        <v>25.32</v>
      </c>
      <c r="M151" s="61">
        <f t="shared" si="9"/>
        <v>45200</v>
      </c>
      <c r="N151" s="24" t="str">
        <f>IF(D151&lt;&gt;"Cash Movements","Manual",IF(COUNTIF(Bank_IDR!$J$8:$J$71,E151)+COUNTIF(Bank_USD!$J$8:$J$60,E151)&gt;0,"Matched","Unmatched"))</f>
        <v>Matched</v>
      </c>
      <c r="O151" s="6" t="s">
        <v>721</v>
      </c>
      <c r="P151" s="50" t="s">
        <v>687</v>
      </c>
      <c r="Q151" s="6">
        <v>146</v>
      </c>
    </row>
    <row r="152" spans="1:17" ht="24">
      <c r="A152" s="6" t="s">
        <v>981</v>
      </c>
      <c r="B152" s="9">
        <v>45229.523611099539</v>
      </c>
      <c r="C152" s="6" t="s">
        <v>642</v>
      </c>
      <c r="D152" s="6" t="s">
        <v>796</v>
      </c>
      <c r="E152" s="6" t="s">
        <v>688</v>
      </c>
      <c r="F152" s="6" t="s">
        <v>484</v>
      </c>
      <c r="G152" s="6" t="s">
        <v>400</v>
      </c>
      <c r="H152" s="24" t="str">
        <f>IFERROR(INDEX(Inputs!$K$6:$K$24,MATCH(G152,Inputs!$J$6:$J$24,0)),"Unmapped")</f>
        <v>Interior Designer</v>
      </c>
      <c r="I152" s="21" t="s">
        <v>720</v>
      </c>
      <c r="J152" s="45">
        <v>75000</v>
      </c>
      <c r="K152" s="58">
        <f>IFERROR(INDEX(Inputs!$H$6:$H$53,MATCH(M152,Inputs!$F$6:$F$53,0)),Inputs!$B$6)</f>
        <v>15000</v>
      </c>
      <c r="L152" s="35">
        <f t="shared" si="8"/>
        <v>5</v>
      </c>
      <c r="M152" s="61">
        <f t="shared" si="9"/>
        <v>45200</v>
      </c>
      <c r="N152" s="24" t="str">
        <f>IF(D152&lt;&gt;"Cash Movements","Manual",IF(COUNTIF(Bank_IDR!$J$8:$J$71,E152)+COUNTIF(Bank_USD!$J$8:$J$60,E152)&gt;0,"Matched","Unmatched"))</f>
        <v>Matched</v>
      </c>
      <c r="O152" s="6" t="s">
        <v>721</v>
      </c>
      <c r="P152" s="50" t="s">
        <v>687</v>
      </c>
      <c r="Q152" s="6">
        <v>147</v>
      </c>
    </row>
    <row r="153" spans="1:17" ht="24">
      <c r="A153" s="6" t="s">
        <v>982</v>
      </c>
      <c r="B153" s="9">
        <v>45229.523611099539</v>
      </c>
      <c r="C153" s="6" t="s">
        <v>642</v>
      </c>
      <c r="D153" s="6" t="s">
        <v>796</v>
      </c>
      <c r="E153" s="6" t="s">
        <v>688</v>
      </c>
      <c r="F153" s="6" t="s">
        <v>484</v>
      </c>
      <c r="G153" s="6" t="s">
        <v>400</v>
      </c>
      <c r="H153" s="24" t="str">
        <f>IFERROR(INDEX(Inputs!$K$6:$K$24,MATCH(G153,Inputs!$J$6:$J$24,0)),"Unmapped")</f>
        <v>Interior Designer</v>
      </c>
      <c r="I153" s="21" t="s">
        <v>720</v>
      </c>
      <c r="J153" s="45">
        <v>47333100</v>
      </c>
      <c r="K153" s="58">
        <f>IFERROR(INDEX(Inputs!$H$6:$H$53,MATCH(M153,Inputs!$F$6:$F$53,0)),Inputs!$B$6)</f>
        <v>15000</v>
      </c>
      <c r="L153" s="35">
        <f t="shared" si="8"/>
        <v>3155.54</v>
      </c>
      <c r="M153" s="61">
        <f t="shared" si="9"/>
        <v>45200</v>
      </c>
      <c r="N153" s="24" t="str">
        <f>IF(D153&lt;&gt;"Cash Movements","Manual",IF(COUNTIF(Bank_IDR!$J$8:$J$71,E153)+COUNTIF(Bank_USD!$J$8:$J$60,E153)&gt;0,"Matched","Unmatched"))</f>
        <v>Matched</v>
      </c>
      <c r="O153" s="6" t="s">
        <v>721</v>
      </c>
      <c r="P153" s="50" t="s">
        <v>687</v>
      </c>
      <c r="Q153" s="6">
        <v>148</v>
      </c>
    </row>
    <row r="154" spans="1:17">
      <c r="A154" s="6" t="s">
        <v>983</v>
      </c>
      <c r="B154" s="9">
        <v>45230.999305555553</v>
      </c>
      <c r="C154" s="6" t="s">
        <v>560</v>
      </c>
      <c r="D154" s="6" t="s">
        <v>796</v>
      </c>
      <c r="E154" s="6" t="s">
        <v>631</v>
      </c>
      <c r="F154" s="6" t="s">
        <v>358</v>
      </c>
      <c r="G154" s="6" t="s">
        <v>436</v>
      </c>
      <c r="H154" s="24" t="str">
        <f>IFERROR(INDEX(Inputs!$K$6:$K$24,MATCH(G154,Inputs!$J$6:$J$24,0)),"Unmapped")</f>
        <v>Withholding tax</v>
      </c>
      <c r="I154" s="21" t="s">
        <v>720</v>
      </c>
      <c r="J154" s="45">
        <v>578.92999999999995</v>
      </c>
      <c r="K154" s="58">
        <f>IFERROR(INDEX(Inputs!$H$6:$H$53,MATCH(M154,Inputs!$F$6:$F$53,0)),Inputs!$B$6)</f>
        <v>15000</v>
      </c>
      <c r="L154" s="35">
        <f t="shared" si="8"/>
        <v>3.8595333333333329E-2</v>
      </c>
      <c r="M154" s="61">
        <f t="shared" si="9"/>
        <v>45200</v>
      </c>
      <c r="N154" s="24" t="str">
        <f>IF(D154&lt;&gt;"Cash Movements","Manual",IF(COUNTIF(Bank_IDR!$J$8:$J$71,E154)+COUNTIF(Bank_USD!$J$8:$J$60,E154)&gt;0,"Matched","Unmatched"))</f>
        <v>Matched</v>
      </c>
      <c r="O154" s="6" t="s">
        <v>797</v>
      </c>
      <c r="P154" s="50" t="s">
        <v>565</v>
      </c>
      <c r="Q154" s="6">
        <v>149</v>
      </c>
    </row>
    <row r="155" spans="1:17">
      <c r="A155" s="6" t="s">
        <v>984</v>
      </c>
      <c r="B155" s="9">
        <v>45230.999305555553</v>
      </c>
      <c r="C155" s="6" t="s">
        <v>642</v>
      </c>
      <c r="D155" s="6" t="s">
        <v>796</v>
      </c>
      <c r="E155" s="6" t="s">
        <v>690</v>
      </c>
      <c r="F155" s="6" t="s">
        <v>358</v>
      </c>
      <c r="G155" s="6" t="s">
        <v>436</v>
      </c>
      <c r="H155" s="24" t="str">
        <f>IFERROR(INDEX(Inputs!$K$6:$K$24,MATCH(G155,Inputs!$J$6:$J$24,0)),"Unmapped")</f>
        <v>Withholding tax</v>
      </c>
      <c r="I155" s="21" t="s">
        <v>720</v>
      </c>
      <c r="J155" s="45">
        <v>5.81</v>
      </c>
      <c r="K155" s="58">
        <f>IFERROR(INDEX(Inputs!$H$6:$H$53,MATCH(M155,Inputs!$F$6:$F$53,0)),Inputs!$B$6)</f>
        <v>15000</v>
      </c>
      <c r="L155" s="35">
        <f t="shared" si="8"/>
        <v>3.8733333333333333E-4</v>
      </c>
      <c r="M155" s="61">
        <f t="shared" si="9"/>
        <v>45200</v>
      </c>
      <c r="N155" s="24" t="str">
        <f>IF(D155&lt;&gt;"Cash Movements","Manual",IF(COUNTIF(Bank_IDR!$J$8:$J$71,E155)+COUNTIF(Bank_USD!$J$8:$J$60,E155)&gt;0,"Matched","Unmatched"))</f>
        <v>Matched</v>
      </c>
      <c r="O155" s="6" t="s">
        <v>797</v>
      </c>
      <c r="P155" s="50" t="s">
        <v>565</v>
      </c>
      <c r="Q155" s="6">
        <v>150</v>
      </c>
    </row>
    <row r="156" spans="1:17">
      <c r="A156" s="6" t="s">
        <v>985</v>
      </c>
      <c r="B156" s="9">
        <v>45231</v>
      </c>
      <c r="C156" s="6" t="s">
        <v>799</v>
      </c>
      <c r="D156" s="6" t="s">
        <v>799</v>
      </c>
      <c r="E156" s="6"/>
      <c r="F156" s="6" t="s">
        <v>533</v>
      </c>
      <c r="G156" s="6" t="s">
        <v>335</v>
      </c>
      <c r="H156" s="24" t="str">
        <f>IFERROR(INDEX(Inputs!$K$6:$K$24,MATCH(G156,Inputs!$J$6:$J$24,0)),"Unmapped")</f>
        <v>A&amp;G Allocation</v>
      </c>
      <c r="I156" s="21" t="s">
        <v>720</v>
      </c>
      <c r="J156" s="45">
        <v>412500000</v>
      </c>
      <c r="K156" s="58">
        <f>IFERROR(INDEX(Inputs!$H$6:$H$53,MATCH(M156,Inputs!$F$6:$F$53,0)),Inputs!$B$6)</f>
        <v>15000</v>
      </c>
      <c r="L156" s="35">
        <f t="shared" si="8"/>
        <v>27500</v>
      </c>
      <c r="M156" s="61">
        <f t="shared" si="9"/>
        <v>45231</v>
      </c>
      <c r="N156" s="24" t="str">
        <f>IF(D156&lt;&gt;"Cash Movements","Manual",IF(COUNTIF(Bank_IDR!$J$8:$J$71,E156)+COUNTIF(Bank_USD!$J$8:$J$60,E156)&gt;0,"Matched","Unmatched"))</f>
        <v>Manual</v>
      </c>
      <c r="O156" s="6" t="s">
        <v>797</v>
      </c>
      <c r="P156" s="50" t="s">
        <v>986</v>
      </c>
      <c r="Q156" s="6">
        <v>151</v>
      </c>
    </row>
    <row r="157" spans="1:17" ht="24">
      <c r="A157" s="6" t="s">
        <v>987</v>
      </c>
      <c r="B157" s="9">
        <v>45247.34097222222</v>
      </c>
      <c r="C157" s="6" t="s">
        <v>560</v>
      </c>
      <c r="D157" s="6" t="s">
        <v>796</v>
      </c>
      <c r="E157" s="6" t="s">
        <v>634</v>
      </c>
      <c r="F157" s="6" t="s">
        <v>496</v>
      </c>
      <c r="G157" s="6" t="s">
        <v>314</v>
      </c>
      <c r="H157" s="24" t="str">
        <f>IFERROR(INDEX(Inputs!$K$6:$K$24,MATCH(G157,Inputs!$J$6:$J$24,0)),"Unmapped")</f>
        <v>Quantity Surveyor</v>
      </c>
      <c r="I157" s="21" t="s">
        <v>720</v>
      </c>
      <c r="J157" s="45">
        <v>2900</v>
      </c>
      <c r="K157" s="58">
        <f>IFERROR(INDEX(Inputs!$H$6:$H$53,MATCH(M157,Inputs!$F$6:$F$53,0)),Inputs!$B$6)</f>
        <v>15000</v>
      </c>
      <c r="L157" s="35">
        <f t="shared" si="8"/>
        <v>0.19333333333333333</v>
      </c>
      <c r="M157" s="61">
        <f t="shared" si="9"/>
        <v>45231</v>
      </c>
      <c r="N157" s="24" t="str">
        <f>IF(D157&lt;&gt;"Cash Movements","Manual",IF(COUNTIF(Bank_IDR!$J$8:$J$71,E157)+COUNTIF(Bank_USD!$J$8:$J$60,E157)&gt;0,"Matched","Unmatched"))</f>
        <v>Matched</v>
      </c>
      <c r="O157" s="6" t="s">
        <v>797</v>
      </c>
      <c r="P157" s="50" t="s">
        <v>633</v>
      </c>
      <c r="Q157" s="6">
        <v>152</v>
      </c>
    </row>
    <row r="158" spans="1:17" ht="24">
      <c r="A158" s="6" t="s">
        <v>988</v>
      </c>
      <c r="B158" s="9">
        <v>45247.34097222222</v>
      </c>
      <c r="C158" s="6" t="s">
        <v>560</v>
      </c>
      <c r="D158" s="6" t="s">
        <v>796</v>
      </c>
      <c r="E158" s="6" t="s">
        <v>634</v>
      </c>
      <c r="F158" s="6" t="s">
        <v>496</v>
      </c>
      <c r="G158" s="6" t="s">
        <v>314</v>
      </c>
      <c r="H158" s="24" t="str">
        <f>IFERROR(INDEX(Inputs!$K$6:$K$24,MATCH(G158,Inputs!$J$6:$J$24,0)),"Unmapped")</f>
        <v>Quantity Surveyor</v>
      </c>
      <c r="I158" s="21" t="s">
        <v>720</v>
      </c>
      <c r="J158" s="45">
        <v>31950000</v>
      </c>
      <c r="K158" s="58">
        <f>IFERROR(INDEX(Inputs!$H$6:$H$53,MATCH(M158,Inputs!$F$6:$F$53,0)),Inputs!$B$6)</f>
        <v>15000</v>
      </c>
      <c r="L158" s="35">
        <f t="shared" si="8"/>
        <v>2130</v>
      </c>
      <c r="M158" s="61">
        <f t="shared" si="9"/>
        <v>45231</v>
      </c>
      <c r="N158" s="24" t="str">
        <f>IF(D158&lt;&gt;"Cash Movements","Manual",IF(COUNTIF(Bank_IDR!$J$8:$J$71,E158)+COUNTIF(Bank_USD!$J$8:$J$60,E158)&gt;0,"Matched","Unmatched"))</f>
        <v>Matched</v>
      </c>
      <c r="O158" s="6" t="s">
        <v>797</v>
      </c>
      <c r="P158" s="50" t="s">
        <v>633</v>
      </c>
      <c r="Q158" s="6">
        <v>153</v>
      </c>
    </row>
    <row r="159" spans="1:17" ht="24">
      <c r="A159" s="6" t="s">
        <v>989</v>
      </c>
      <c r="B159" s="9">
        <v>45250.339583321758</v>
      </c>
      <c r="C159" s="6" t="s">
        <v>560</v>
      </c>
      <c r="D159" s="6" t="s">
        <v>796</v>
      </c>
      <c r="E159" s="6" t="s">
        <v>636</v>
      </c>
      <c r="F159" s="6" t="s">
        <v>496</v>
      </c>
      <c r="G159" s="6" t="s">
        <v>314</v>
      </c>
      <c r="H159" s="24" t="str">
        <f>IFERROR(INDEX(Inputs!$K$6:$K$24,MATCH(G159,Inputs!$J$6:$J$24,0)),"Unmapped")</f>
        <v>Quantity Surveyor</v>
      </c>
      <c r="I159" s="21" t="s">
        <v>720</v>
      </c>
      <c r="J159" s="45">
        <v>2900</v>
      </c>
      <c r="K159" s="58">
        <f>IFERROR(INDEX(Inputs!$H$6:$H$53,MATCH(M159,Inputs!$F$6:$F$53,0)),Inputs!$B$6)</f>
        <v>15000</v>
      </c>
      <c r="L159" s="35">
        <f t="shared" si="8"/>
        <v>0.19333333333333333</v>
      </c>
      <c r="M159" s="61">
        <f t="shared" si="9"/>
        <v>45231</v>
      </c>
      <c r="N159" s="24" t="str">
        <f>IF(D159&lt;&gt;"Cash Movements","Manual",IF(COUNTIF(Bank_IDR!$J$8:$J$71,E159)+COUNTIF(Bank_USD!$J$8:$J$60,E159)&gt;0,"Matched","Unmatched"))</f>
        <v>Matched</v>
      </c>
      <c r="O159" s="6" t="s">
        <v>797</v>
      </c>
      <c r="P159" s="50" t="s">
        <v>635</v>
      </c>
      <c r="Q159" s="6">
        <v>154</v>
      </c>
    </row>
    <row r="160" spans="1:17" ht="24">
      <c r="A160" s="6" t="s">
        <v>990</v>
      </c>
      <c r="B160" s="9">
        <v>45250.339583321758</v>
      </c>
      <c r="C160" s="6" t="s">
        <v>560</v>
      </c>
      <c r="D160" s="6" t="s">
        <v>796</v>
      </c>
      <c r="E160" s="6" t="s">
        <v>636</v>
      </c>
      <c r="F160" s="6" t="s">
        <v>496</v>
      </c>
      <c r="G160" s="6" t="s">
        <v>314</v>
      </c>
      <c r="H160" s="24" t="str">
        <f>IFERROR(INDEX(Inputs!$K$6:$K$24,MATCH(G160,Inputs!$J$6:$J$24,0)),"Unmapped")</f>
        <v>Quantity Surveyor</v>
      </c>
      <c r="I160" s="21" t="s">
        <v>720</v>
      </c>
      <c r="J160" s="45">
        <v>300000</v>
      </c>
      <c r="K160" s="58">
        <f>IFERROR(INDEX(Inputs!$H$6:$H$53,MATCH(M160,Inputs!$F$6:$F$53,0)),Inputs!$B$6)</f>
        <v>15000</v>
      </c>
      <c r="L160" s="35">
        <f t="shared" si="8"/>
        <v>20</v>
      </c>
      <c r="M160" s="61">
        <f t="shared" si="9"/>
        <v>45231</v>
      </c>
      <c r="N160" s="24" t="str">
        <f>IF(D160&lt;&gt;"Cash Movements","Manual",IF(COUNTIF(Bank_IDR!$J$8:$J$71,E160)+COUNTIF(Bank_USD!$J$8:$J$60,E160)&gt;0,"Matched","Unmatched"))</f>
        <v>Matched</v>
      </c>
      <c r="O160" s="6" t="s">
        <v>797</v>
      </c>
      <c r="P160" s="50" t="s">
        <v>635</v>
      </c>
      <c r="Q160" s="6">
        <v>155</v>
      </c>
    </row>
    <row r="161" spans="1:17">
      <c r="A161" s="6" t="s">
        <v>991</v>
      </c>
      <c r="B161" s="9">
        <v>45250.999305555553</v>
      </c>
      <c r="C161" s="6" t="s">
        <v>560</v>
      </c>
      <c r="D161" s="6" t="s">
        <v>796</v>
      </c>
      <c r="E161" s="6" t="s">
        <v>637</v>
      </c>
      <c r="F161" s="6" t="s">
        <v>506</v>
      </c>
      <c r="G161" s="6" t="s">
        <v>360</v>
      </c>
      <c r="H161" s="24" t="str">
        <f>IFERROR(INDEX(Inputs!$K$6:$K$24,MATCH(G161,Inputs!$J$6:$J$24,0)),"Unmapped")</f>
        <v>Miscellaneous</v>
      </c>
      <c r="I161" s="21" t="s">
        <v>720</v>
      </c>
      <c r="J161" s="45">
        <v>30000</v>
      </c>
      <c r="K161" s="58">
        <f>IFERROR(INDEX(Inputs!$H$6:$H$53,MATCH(M161,Inputs!$F$6:$F$53,0)),Inputs!$B$6)</f>
        <v>15000</v>
      </c>
      <c r="L161" s="35">
        <f t="shared" si="8"/>
        <v>2</v>
      </c>
      <c r="M161" s="61">
        <f t="shared" si="9"/>
        <v>45231</v>
      </c>
      <c r="N161" s="24" t="str">
        <f>IF(D161&lt;&gt;"Cash Movements","Manual",IF(COUNTIF(Bank_IDR!$J$8:$J$71,E161)+COUNTIF(Bank_USD!$J$8:$J$60,E161)&gt;0,"Matched","Unmatched"))</f>
        <v>Matched</v>
      </c>
      <c r="O161" s="6" t="s">
        <v>797</v>
      </c>
      <c r="P161" s="50" t="s">
        <v>576</v>
      </c>
      <c r="Q161" s="6">
        <v>156</v>
      </c>
    </row>
    <row r="162" spans="1:17">
      <c r="A162" s="6" t="s">
        <v>992</v>
      </c>
      <c r="B162" s="9">
        <v>45250.999305555553</v>
      </c>
      <c r="C162" s="6" t="s">
        <v>642</v>
      </c>
      <c r="D162" s="6" t="s">
        <v>796</v>
      </c>
      <c r="E162" s="6" t="s">
        <v>693</v>
      </c>
      <c r="F162" s="6" t="s">
        <v>506</v>
      </c>
      <c r="G162" s="6" t="s">
        <v>360</v>
      </c>
      <c r="H162" s="24" t="str">
        <f>IFERROR(INDEX(Inputs!$K$6:$K$24,MATCH(G162,Inputs!$J$6:$J$24,0)),"Unmapped")</f>
        <v>Miscellaneous</v>
      </c>
      <c r="I162" s="21" t="s">
        <v>720</v>
      </c>
      <c r="J162" s="45">
        <v>75000</v>
      </c>
      <c r="K162" s="58">
        <f>IFERROR(INDEX(Inputs!$H$6:$H$53,MATCH(M162,Inputs!$F$6:$F$53,0)),Inputs!$B$6)</f>
        <v>15000</v>
      </c>
      <c r="L162" s="35">
        <f t="shared" si="8"/>
        <v>5</v>
      </c>
      <c r="M162" s="61">
        <f t="shared" si="9"/>
        <v>45231</v>
      </c>
      <c r="N162" s="24" t="str">
        <f>IF(D162&lt;&gt;"Cash Movements","Manual",IF(COUNTIF(Bank_IDR!$J$8:$J$71,E162)+COUNTIF(Bank_USD!$J$8:$J$60,E162)&gt;0,"Matched","Unmatched"))</f>
        <v>Matched</v>
      </c>
      <c r="O162" s="6" t="s">
        <v>797</v>
      </c>
      <c r="P162" s="50" t="s">
        <v>576</v>
      </c>
      <c r="Q162" s="6">
        <v>157</v>
      </c>
    </row>
    <row r="163" spans="1:17">
      <c r="A163" s="7" t="s">
        <v>993</v>
      </c>
      <c r="B163" s="56">
        <v>45261</v>
      </c>
      <c r="C163" s="7" t="s">
        <v>799</v>
      </c>
      <c r="D163" s="7" t="s">
        <v>799</v>
      </c>
      <c r="E163" s="7"/>
      <c r="F163" s="7" t="s">
        <v>533</v>
      </c>
      <c r="G163" s="7" t="s">
        <v>335</v>
      </c>
      <c r="H163" s="25" t="str">
        <f>IFERROR(INDEX(Inputs!$K$6:$K$24,MATCH(G163,Inputs!$J$6:$J$24,0)),"Unmapped")</f>
        <v>A&amp;G Allocation</v>
      </c>
      <c r="I163" s="22" t="s">
        <v>720</v>
      </c>
      <c r="J163" s="46">
        <v>412500000</v>
      </c>
      <c r="K163" s="59">
        <f>IFERROR(INDEX(Inputs!$H$6:$H$53,MATCH(M163,Inputs!$F$6:$F$53,0)),Inputs!$B$6)</f>
        <v>15000</v>
      </c>
      <c r="L163" s="36">
        <f t="shared" si="8"/>
        <v>27500</v>
      </c>
      <c r="M163" s="62">
        <f t="shared" si="9"/>
        <v>45261</v>
      </c>
      <c r="N163" s="25" t="str">
        <f>IF(D163&lt;&gt;"Cash Movements","Manual",IF(COUNTIF(Bank_IDR!$J$8:$J$71,E163)+COUNTIF(Bank_USD!$J$8:$J$60,E163)&gt;0,"Matched","Unmatched"))</f>
        <v>Manual</v>
      </c>
      <c r="O163" s="7" t="s">
        <v>797</v>
      </c>
      <c r="P163" s="51" t="s">
        <v>994</v>
      </c>
      <c r="Q163" s="7">
        <v>158</v>
      </c>
    </row>
  </sheetData>
  <mergeCells count="2">
    <mergeCell ref="A1:Q1"/>
    <mergeCell ref="A2:Q2"/>
  </mergeCells>
  <conditionalFormatting sqref="N7:N163">
    <cfRule type="containsText" dxfId="11" priority="1" operator="containsText" text="PASS"/>
    <cfRule type="containsText" dxfId="10" priority="2" operator="containsText" text="FAIL"/>
    <cfRule type="containsText" dxfId="9" priority="3" operator="containsText" text="WARNING"/>
  </conditionalFormatting>
  <hyperlinks>
    <hyperlink ref="J1" location="Cover!A1" tooltip="Back to Cover" display="← Back to Cover" xr:uid="{68E5544F-25C1-4CE9-AA27-51F4AAAC9612}"/>
    <hyperlink ref="N1" location="Cover!A1" tooltip="Back to Cover" display="← Back to Cover" xr:uid="{4C0AF1A7-E105-4155-8ECA-3D46FA266204}"/>
    <hyperlink ref="N4" location="Cover!A1" tooltip="Back to Cover" display="← Back to Cover" xr:uid="{B8934FA4-6C47-45EB-8A2A-96C550D2E4A3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/>
  <dimension ref="A1:P29"/>
  <sheetViews>
    <sheetView showGridLines="0" workbookViewId="0">
      <selection activeCell="L28" sqref="L28"/>
    </sheetView>
  </sheetViews>
  <sheetFormatPr defaultRowHeight="13.5"/>
  <cols>
    <col min="1" max="2" width="13" customWidth="1"/>
    <col min="3" max="3" width="42" customWidth="1"/>
    <col min="4" max="4" width="23" customWidth="1"/>
    <col min="5" max="5" width="28" customWidth="1"/>
    <col min="6" max="7" width="24" customWidth="1"/>
    <col min="8" max="10" width="18" customWidth="1"/>
    <col min="11" max="14" width="17" customWidth="1"/>
    <col min="15" max="15" width="65" customWidth="1"/>
    <col min="16" max="16" width="12" customWidth="1"/>
  </cols>
  <sheetData>
    <row r="1" spans="1:16" ht="30" customHeight="1">
      <c r="A1" s="146" t="s">
        <v>995</v>
      </c>
      <c r="B1" s="147"/>
      <c r="C1" s="147"/>
      <c r="D1" s="147"/>
      <c r="E1" s="147"/>
      <c r="F1" s="147"/>
      <c r="G1" s="147"/>
      <c r="H1" s="147"/>
      <c r="I1" s="147"/>
      <c r="J1" s="148"/>
      <c r="K1" s="147"/>
      <c r="L1" s="147"/>
      <c r="M1" s="147"/>
      <c r="N1" s="183"/>
      <c r="O1" s="147"/>
      <c r="P1" s="147"/>
    </row>
    <row r="2" spans="1:16" ht="28.15" customHeight="1">
      <c r="A2" s="150" t="s">
        <v>996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16" s="118" customFormat="1" ht="13.9">
      <c r="A3" s="117" t="s">
        <v>997</v>
      </c>
    </row>
    <row r="4" spans="1:16" s="118" customFormat="1" ht="13.9">
      <c r="B4" s="119">
        <f>SUMIFS(J7:J29,B7:B29,"&lt;="&amp;Inputs!$B$11)</f>
        <v>832913.09239798947</v>
      </c>
      <c r="C4" s="119" t="s">
        <v>998</v>
      </c>
      <c r="D4" s="119">
        <f>SUMIFS(J7:J29,G7:G29,"&lt;&gt;Other income",B7:B29,"&lt;="&amp;Inputs!$B$11)</f>
        <v>832531.8</v>
      </c>
      <c r="E4" s="120" t="s">
        <v>702</v>
      </c>
      <c r="F4" s="120">
        <f>COUNTIF(L7:L29,"Unmatched")</f>
        <v>0</v>
      </c>
      <c r="N4" s="127" t="s">
        <v>99</v>
      </c>
    </row>
    <row r="6" spans="1:16" ht="30" customHeight="1">
      <c r="A6" s="2" t="s">
        <v>703</v>
      </c>
      <c r="B6" s="3" t="s">
        <v>704</v>
      </c>
      <c r="C6" s="3" t="s">
        <v>705</v>
      </c>
      <c r="D6" s="3" t="s">
        <v>556</v>
      </c>
      <c r="E6" s="3" t="s">
        <v>999</v>
      </c>
      <c r="F6" s="3" t="s">
        <v>374</v>
      </c>
      <c r="G6" s="3" t="s">
        <v>1000</v>
      </c>
      <c r="H6" s="3" t="s">
        <v>708</v>
      </c>
      <c r="I6" s="3" t="s">
        <v>709</v>
      </c>
      <c r="J6" s="3" t="s">
        <v>710</v>
      </c>
      <c r="K6" s="3" t="s">
        <v>711</v>
      </c>
      <c r="L6" s="3" t="s">
        <v>712</v>
      </c>
      <c r="M6" s="3" t="s">
        <v>1001</v>
      </c>
      <c r="N6" s="3" t="s">
        <v>1002</v>
      </c>
      <c r="O6" s="3" t="s">
        <v>714</v>
      </c>
      <c r="P6" s="4" t="s">
        <v>715</v>
      </c>
    </row>
    <row r="7" spans="1:16" hidden="1">
      <c r="A7" s="5" t="s">
        <v>1003</v>
      </c>
      <c r="B7" s="55">
        <v>44926.999305555553</v>
      </c>
      <c r="C7" s="5" t="s">
        <v>560</v>
      </c>
      <c r="D7" s="5" t="s">
        <v>564</v>
      </c>
      <c r="E7" s="5" t="s">
        <v>1004</v>
      </c>
      <c r="F7" s="5" t="s">
        <v>1005</v>
      </c>
      <c r="G7" s="5" t="s">
        <v>169</v>
      </c>
      <c r="H7" s="44">
        <v>1862.33</v>
      </c>
      <c r="I7" s="57">
        <f>IFERROR(INDEX(Inputs!$H$6:$H$53,MATCH(K7,Inputs!$F$6:$F$53,0)),Inputs!$B$6)</f>
        <v>15731</v>
      </c>
      <c r="J7" s="33">
        <f t="shared" ref="J7:J29" si="0">H7/I7</f>
        <v>0.11838598944758756</v>
      </c>
      <c r="K7" s="60">
        <f t="shared" ref="K7:K29" si="1">DATE(YEAR(B7),MONTH(B7),1)</f>
        <v>44896</v>
      </c>
      <c r="L7" s="23" t="str">
        <f>IF(COUNTIF(Bank_IDR!$J$8:$J$71,D7)+COUNTIF(Bank_USD!$J$8:$J$60,D7)&gt;0,"Matched",IF(B7&gt;MAX(Bank_IDR!$B$8:$B$71,Bank_USD!$B$8:$B$60),"Pending feed","Unmatched"))</f>
        <v>Matched</v>
      </c>
      <c r="M7" s="52">
        <v>0</v>
      </c>
      <c r="N7" s="52">
        <f t="shared" ref="N7:N29" si="2">IF(M7=0,0,J7-M7)</f>
        <v>0</v>
      </c>
      <c r="O7" s="49" t="s">
        <v>563</v>
      </c>
      <c r="P7" s="5">
        <v>2</v>
      </c>
    </row>
    <row r="8" spans="1:16" hidden="1">
      <c r="A8" s="6" t="s">
        <v>1006</v>
      </c>
      <c r="B8" s="9">
        <v>45107.999305555553</v>
      </c>
      <c r="C8" s="6" t="s">
        <v>560</v>
      </c>
      <c r="D8" s="6" t="s">
        <v>599</v>
      </c>
      <c r="E8" s="6" t="s">
        <v>1004</v>
      </c>
      <c r="F8" s="6" t="s">
        <v>1005</v>
      </c>
      <c r="G8" s="6" t="s">
        <v>169</v>
      </c>
      <c r="H8" s="45">
        <v>19735.759999999998</v>
      </c>
      <c r="I8" s="58">
        <f>IFERROR(INDEX(Inputs!$H$6:$H$53,MATCH(K8,Inputs!$F$6:$F$53,0)),Inputs!$B$6)</f>
        <v>15000</v>
      </c>
      <c r="J8" s="35">
        <f t="shared" si="0"/>
        <v>1.3157173333333332</v>
      </c>
      <c r="K8" s="61">
        <f t="shared" si="1"/>
        <v>45078</v>
      </c>
      <c r="L8" s="24" t="str">
        <f>IF(COUNTIF(Bank_IDR!$J$8:$J$71,D8)+COUNTIF(Bank_USD!$J$8:$J$60,D8)&gt;0,"Matched",IF(B8&gt;MAX(Bank_IDR!$B$8:$B$71,Bank_USD!$B$8:$B$60),"Pending feed","Unmatched"))</f>
        <v>Matched</v>
      </c>
      <c r="M8" s="53">
        <v>0</v>
      </c>
      <c r="N8" s="53">
        <f t="shared" si="2"/>
        <v>0</v>
      </c>
      <c r="O8" s="50" t="s">
        <v>563</v>
      </c>
      <c r="P8" s="6">
        <v>3</v>
      </c>
    </row>
    <row r="9" spans="1:16" hidden="1">
      <c r="A9" s="6" t="s">
        <v>1007</v>
      </c>
      <c r="B9" s="9">
        <v>45138.999305555553</v>
      </c>
      <c r="C9" s="6" t="s">
        <v>560</v>
      </c>
      <c r="D9" s="6" t="s">
        <v>610</v>
      </c>
      <c r="E9" s="6" t="s">
        <v>1004</v>
      </c>
      <c r="F9" s="6" t="s">
        <v>1005</v>
      </c>
      <c r="G9" s="6" t="s">
        <v>169</v>
      </c>
      <c r="H9" s="45">
        <v>28018.9</v>
      </c>
      <c r="I9" s="58">
        <f>IFERROR(INDEX(Inputs!$H$6:$H$53,MATCH(K9,Inputs!$F$6:$F$53,0)),Inputs!$B$6)</f>
        <v>15000</v>
      </c>
      <c r="J9" s="35">
        <f t="shared" si="0"/>
        <v>1.8679266666666667</v>
      </c>
      <c r="K9" s="61">
        <f t="shared" si="1"/>
        <v>45108</v>
      </c>
      <c r="L9" s="24" t="str">
        <f>IF(COUNTIF(Bank_IDR!$J$8:$J$71,D9)+COUNTIF(Bank_USD!$J$8:$J$60,D9)&gt;0,"Matched",IF(B9&gt;MAX(Bank_IDR!$B$8:$B$71,Bank_USD!$B$8:$B$60),"Pending feed","Unmatched"))</f>
        <v>Matched</v>
      </c>
      <c r="M9" s="53">
        <v>0</v>
      </c>
      <c r="N9" s="53">
        <f t="shared" si="2"/>
        <v>0</v>
      </c>
      <c r="O9" s="50" t="s">
        <v>563</v>
      </c>
      <c r="P9" s="6">
        <v>4</v>
      </c>
    </row>
    <row r="10" spans="1:16" hidden="1">
      <c r="A10" s="6" t="s">
        <v>1008</v>
      </c>
      <c r="B10" s="9">
        <v>45169.999305555553</v>
      </c>
      <c r="C10" s="6" t="s">
        <v>560</v>
      </c>
      <c r="D10" s="6" t="s">
        <v>619</v>
      </c>
      <c r="E10" s="6" t="s">
        <v>1004</v>
      </c>
      <c r="F10" s="6" t="s">
        <v>1005</v>
      </c>
      <c r="G10" s="6" t="s">
        <v>169</v>
      </c>
      <c r="H10" s="45">
        <v>5966.36</v>
      </c>
      <c r="I10" s="58">
        <f>IFERROR(INDEX(Inputs!$H$6:$H$53,MATCH(K10,Inputs!$F$6:$F$53,0)),Inputs!$B$6)</f>
        <v>15000</v>
      </c>
      <c r="J10" s="35">
        <f t="shared" si="0"/>
        <v>0.3977573333333333</v>
      </c>
      <c r="K10" s="61">
        <f t="shared" si="1"/>
        <v>45139</v>
      </c>
      <c r="L10" s="24" t="str">
        <f>IF(COUNTIF(Bank_IDR!$J$8:$J$71,D10)+COUNTIF(Bank_USD!$J$8:$J$60,D10)&gt;0,"Matched",IF(B10&gt;MAX(Bank_IDR!$B$8:$B$71,Bank_USD!$B$8:$B$60),"Pending feed","Unmatched"))</f>
        <v>Matched</v>
      </c>
      <c r="M10" s="53">
        <v>0</v>
      </c>
      <c r="N10" s="53">
        <f t="shared" si="2"/>
        <v>0</v>
      </c>
      <c r="O10" s="50" t="s">
        <v>563</v>
      </c>
      <c r="P10" s="6">
        <v>5</v>
      </c>
    </row>
    <row r="11" spans="1:16" hidden="1">
      <c r="A11" s="6" t="s">
        <v>1009</v>
      </c>
      <c r="B11" s="9">
        <v>45230.999305555553</v>
      </c>
      <c r="C11" s="6" t="s">
        <v>560</v>
      </c>
      <c r="D11" s="6" t="s">
        <v>632</v>
      </c>
      <c r="E11" s="6" t="s">
        <v>1004</v>
      </c>
      <c r="F11" s="6" t="s">
        <v>1005</v>
      </c>
      <c r="G11" s="6" t="s">
        <v>169</v>
      </c>
      <c r="H11" s="45">
        <v>2894.67</v>
      </c>
      <c r="I11" s="58">
        <f>IFERROR(INDEX(Inputs!$H$6:$H$53,MATCH(K11,Inputs!$F$6:$F$53,0)),Inputs!$B$6)</f>
        <v>15000</v>
      </c>
      <c r="J11" s="35">
        <f t="shared" si="0"/>
        <v>0.19297800000000001</v>
      </c>
      <c r="K11" s="61">
        <f t="shared" si="1"/>
        <v>45200</v>
      </c>
      <c r="L11" s="24" t="str">
        <f>IF(COUNTIF(Bank_IDR!$J$8:$J$71,D11)+COUNTIF(Bank_USD!$J$8:$J$60,D11)&gt;0,"Matched",IF(B11&gt;MAX(Bank_IDR!$B$8:$B$71,Bank_USD!$B$8:$B$60),"Pending feed","Unmatched"))</f>
        <v>Matched</v>
      </c>
      <c r="M11" s="53">
        <v>0</v>
      </c>
      <c r="N11" s="53">
        <f t="shared" si="2"/>
        <v>0</v>
      </c>
      <c r="O11" s="50" t="s">
        <v>563</v>
      </c>
      <c r="P11" s="6">
        <v>6</v>
      </c>
    </row>
    <row r="12" spans="1:16" hidden="1">
      <c r="A12" s="6" t="s">
        <v>1010</v>
      </c>
      <c r="B12" s="9">
        <v>44924.549305555556</v>
      </c>
      <c r="C12" s="6" t="s">
        <v>642</v>
      </c>
      <c r="D12" s="6" t="s">
        <v>644</v>
      </c>
      <c r="E12" s="6" t="s">
        <v>1011</v>
      </c>
      <c r="F12" s="6" t="s">
        <v>132</v>
      </c>
      <c r="G12" s="6" t="s">
        <v>132</v>
      </c>
      <c r="H12" s="45">
        <v>3492203345</v>
      </c>
      <c r="I12" s="58">
        <f>IFERROR(INDEX(Inputs!$H$6:$H$53,MATCH(K12,Inputs!$F$6:$F$53,0)),Inputs!$B$6)</f>
        <v>15731</v>
      </c>
      <c r="J12" s="35">
        <f t="shared" si="0"/>
        <v>221995</v>
      </c>
      <c r="K12" s="61">
        <f t="shared" si="1"/>
        <v>44896</v>
      </c>
      <c r="L12" s="24" t="str">
        <f>IF(COUNTIF(Bank_IDR!$J$8:$J$71,D12)+COUNTIF(Bank_USD!$J$8:$J$60,D12)&gt;0,"Matched",IF(B12&gt;MAX(Bank_IDR!$B$8:$B$71,Bank_USD!$B$8:$B$60),"Pending feed","Unmatched"))</f>
        <v>Matched</v>
      </c>
      <c r="M12" s="53">
        <v>2800000</v>
      </c>
      <c r="N12" s="53">
        <f t="shared" si="2"/>
        <v>-2578005</v>
      </c>
      <c r="O12" s="50" t="s">
        <v>643</v>
      </c>
      <c r="P12" s="6">
        <v>7</v>
      </c>
    </row>
    <row r="13" spans="1:16" hidden="1">
      <c r="A13" s="6" t="s">
        <v>1012</v>
      </c>
      <c r="B13" s="9">
        <v>44926.999305555553</v>
      </c>
      <c r="C13" s="6" t="s">
        <v>642</v>
      </c>
      <c r="D13" s="6" t="s">
        <v>646</v>
      </c>
      <c r="E13" s="6" t="s">
        <v>1013</v>
      </c>
      <c r="F13" s="6" t="s">
        <v>1005</v>
      </c>
      <c r="G13" s="6" t="s">
        <v>169</v>
      </c>
      <c r="H13" s="45">
        <v>28158.49</v>
      </c>
      <c r="I13" s="58">
        <f>IFERROR(INDEX(Inputs!$H$6:$H$53,MATCH(K13,Inputs!$F$6:$F$53,0)),Inputs!$B$6)</f>
        <v>15731</v>
      </c>
      <c r="J13" s="35">
        <f t="shared" si="0"/>
        <v>1.79</v>
      </c>
      <c r="K13" s="61">
        <f t="shared" si="1"/>
        <v>44896</v>
      </c>
      <c r="L13" s="24" t="str">
        <f>IF(COUNTIF(Bank_IDR!$J$8:$J$71,D13)+COUNTIF(Bank_USD!$J$8:$J$60,D13)&gt;0,"Matched",IF(B13&gt;MAX(Bank_IDR!$B$8:$B$71,Bank_USD!$B$8:$B$60),"Pending feed","Unmatched"))</f>
        <v>Matched</v>
      </c>
      <c r="M13" s="53">
        <v>0</v>
      </c>
      <c r="N13" s="53">
        <f t="shared" si="2"/>
        <v>0</v>
      </c>
      <c r="O13" s="50" t="s">
        <v>563</v>
      </c>
      <c r="P13" s="6">
        <v>8</v>
      </c>
    </row>
    <row r="14" spans="1:16" hidden="1">
      <c r="A14" s="6" t="s">
        <v>1014</v>
      </c>
      <c r="B14" s="9">
        <v>44957.999305555553</v>
      </c>
      <c r="C14" s="6" t="s">
        <v>642</v>
      </c>
      <c r="D14" s="6" t="s">
        <v>652</v>
      </c>
      <c r="E14" s="6" t="s">
        <v>1013</v>
      </c>
      <c r="F14" s="6" t="s">
        <v>1005</v>
      </c>
      <c r="G14" s="6" t="s">
        <v>169</v>
      </c>
      <c r="H14" s="45">
        <v>301077.90000000002</v>
      </c>
      <c r="I14" s="58">
        <f>IFERROR(INDEX(Inputs!$H$6:$H$53,MATCH(K14,Inputs!$F$6:$F$53,0)),Inputs!$B$6)</f>
        <v>14979</v>
      </c>
      <c r="J14" s="35">
        <f t="shared" si="0"/>
        <v>20.100000000000001</v>
      </c>
      <c r="K14" s="61">
        <f t="shared" si="1"/>
        <v>44927</v>
      </c>
      <c r="L14" s="24" t="str">
        <f>IF(COUNTIF(Bank_IDR!$J$8:$J$71,D14)+COUNTIF(Bank_USD!$J$8:$J$60,D14)&gt;0,"Matched",IF(B14&gt;MAX(Bank_IDR!$B$8:$B$71,Bank_USD!$B$8:$B$60),"Pending feed","Unmatched"))</f>
        <v>Matched</v>
      </c>
      <c r="M14" s="53">
        <v>0</v>
      </c>
      <c r="N14" s="53">
        <f t="shared" si="2"/>
        <v>0</v>
      </c>
      <c r="O14" s="50" t="s">
        <v>563</v>
      </c>
      <c r="P14" s="6">
        <v>9</v>
      </c>
    </row>
    <row r="15" spans="1:16" ht="24" hidden="1">
      <c r="A15" s="6" t="s">
        <v>1015</v>
      </c>
      <c r="B15" s="9">
        <v>44973.334722222222</v>
      </c>
      <c r="C15" s="6" t="s">
        <v>642</v>
      </c>
      <c r="D15" s="6" t="s">
        <v>654</v>
      </c>
      <c r="E15" s="6" t="s">
        <v>1011</v>
      </c>
      <c r="F15" s="6" t="s">
        <v>132</v>
      </c>
      <c r="G15" s="6" t="s">
        <v>132</v>
      </c>
      <c r="H15" s="45">
        <v>3390751630</v>
      </c>
      <c r="I15" s="58">
        <f>IFERROR(INDEX(Inputs!$H$6:$H$53,MATCH(K15,Inputs!$F$6:$F$53,0)),Inputs!$B$6)</f>
        <v>15274</v>
      </c>
      <c r="J15" s="35">
        <f t="shared" si="0"/>
        <v>221995</v>
      </c>
      <c r="K15" s="61">
        <f t="shared" si="1"/>
        <v>44958</v>
      </c>
      <c r="L15" s="24" t="str">
        <f>IF(COUNTIF(Bank_IDR!$J$8:$J$71,D15)+COUNTIF(Bank_USD!$J$8:$J$60,D15)&gt;0,"Matched",IF(B15&gt;MAX(Bank_IDR!$B$8:$B$71,Bank_USD!$B$8:$B$60),"Pending feed","Unmatched"))</f>
        <v>Matched</v>
      </c>
      <c r="M15" s="53">
        <v>2800000</v>
      </c>
      <c r="N15" s="53">
        <f t="shared" si="2"/>
        <v>-2578005</v>
      </c>
      <c r="O15" s="50" t="s">
        <v>653</v>
      </c>
      <c r="P15" s="6">
        <v>10</v>
      </c>
    </row>
    <row r="16" spans="1:16" hidden="1">
      <c r="A16" s="6" t="s">
        <v>1016</v>
      </c>
      <c r="B16" s="9">
        <v>44985.999305555553</v>
      </c>
      <c r="C16" s="6" t="s">
        <v>642</v>
      </c>
      <c r="D16" s="6" t="s">
        <v>657</v>
      </c>
      <c r="E16" s="6" t="s">
        <v>1013</v>
      </c>
      <c r="F16" s="6" t="s">
        <v>1005</v>
      </c>
      <c r="G16" s="6" t="s">
        <v>169</v>
      </c>
      <c r="H16" s="45">
        <v>443862.44</v>
      </c>
      <c r="I16" s="58">
        <f>IFERROR(INDEX(Inputs!$H$6:$H$53,MATCH(K16,Inputs!$F$6:$F$53,0)),Inputs!$B$6)</f>
        <v>15274</v>
      </c>
      <c r="J16" s="35">
        <f t="shared" si="0"/>
        <v>29.06</v>
      </c>
      <c r="K16" s="61">
        <f t="shared" si="1"/>
        <v>44958</v>
      </c>
      <c r="L16" s="24" t="str">
        <f>IF(COUNTIF(Bank_IDR!$J$8:$J$71,D16)+COUNTIF(Bank_USD!$J$8:$J$60,D16)&gt;0,"Matched",IF(B16&gt;MAX(Bank_IDR!$B$8:$B$71,Bank_USD!$B$8:$B$60),"Pending feed","Unmatched"))</f>
        <v>Matched</v>
      </c>
      <c r="M16" s="53">
        <v>0</v>
      </c>
      <c r="N16" s="53">
        <f t="shared" si="2"/>
        <v>0</v>
      </c>
      <c r="O16" s="50" t="s">
        <v>563</v>
      </c>
      <c r="P16" s="6">
        <v>11</v>
      </c>
    </row>
    <row r="17" spans="1:16" hidden="1">
      <c r="A17" s="6" t="s">
        <v>1017</v>
      </c>
      <c r="B17" s="9">
        <v>45016.999305555553</v>
      </c>
      <c r="C17" s="6" t="s">
        <v>642</v>
      </c>
      <c r="D17" s="6" t="s">
        <v>660</v>
      </c>
      <c r="E17" s="6" t="s">
        <v>1013</v>
      </c>
      <c r="F17" s="6" t="s">
        <v>1005</v>
      </c>
      <c r="G17" s="6" t="s">
        <v>169</v>
      </c>
      <c r="H17" s="45">
        <v>702943.54</v>
      </c>
      <c r="I17" s="58">
        <f>IFERROR(INDEX(Inputs!$H$6:$H$53,MATCH(K17,Inputs!$F$6:$F$53,0)),Inputs!$B$6)</f>
        <v>15062</v>
      </c>
      <c r="J17" s="35">
        <f t="shared" si="0"/>
        <v>46.67</v>
      </c>
      <c r="K17" s="61">
        <f t="shared" si="1"/>
        <v>44986</v>
      </c>
      <c r="L17" s="24" t="str">
        <f>IF(COUNTIF(Bank_IDR!$J$8:$J$71,D17)+COUNTIF(Bank_USD!$J$8:$J$60,D17)&gt;0,"Matched",IF(B17&gt;MAX(Bank_IDR!$B$8:$B$71,Bank_USD!$B$8:$B$60),"Pending feed","Unmatched"))</f>
        <v>Matched</v>
      </c>
      <c r="M17" s="53">
        <v>0</v>
      </c>
      <c r="N17" s="53">
        <f t="shared" si="2"/>
        <v>0</v>
      </c>
      <c r="O17" s="50" t="s">
        <v>563</v>
      </c>
      <c r="P17" s="6">
        <v>12</v>
      </c>
    </row>
    <row r="18" spans="1:16" hidden="1">
      <c r="A18" s="6" t="s">
        <v>1018</v>
      </c>
      <c r="B18" s="9">
        <v>45046.999305555553</v>
      </c>
      <c r="C18" s="6" t="s">
        <v>642</v>
      </c>
      <c r="D18" s="6" t="s">
        <v>664</v>
      </c>
      <c r="E18" s="6" t="s">
        <v>1013</v>
      </c>
      <c r="F18" s="6" t="s">
        <v>1005</v>
      </c>
      <c r="G18" s="6" t="s">
        <v>169</v>
      </c>
      <c r="H18" s="45">
        <v>665250</v>
      </c>
      <c r="I18" s="58">
        <f>IFERROR(INDEX(Inputs!$H$6:$H$53,MATCH(K18,Inputs!$F$6:$F$53,0)),Inputs!$B$6)</f>
        <v>15000</v>
      </c>
      <c r="J18" s="35">
        <f t="shared" si="0"/>
        <v>44.35</v>
      </c>
      <c r="K18" s="61">
        <f t="shared" si="1"/>
        <v>45017</v>
      </c>
      <c r="L18" s="24" t="str">
        <f>IF(COUNTIF(Bank_IDR!$J$8:$J$71,D18)+COUNTIF(Bank_USD!$J$8:$J$60,D18)&gt;0,"Matched",IF(B18&gt;MAX(Bank_IDR!$B$8:$B$71,Bank_USD!$B$8:$B$60),"Pending feed","Unmatched"))</f>
        <v>Matched</v>
      </c>
      <c r="M18" s="53">
        <v>0</v>
      </c>
      <c r="N18" s="53">
        <f t="shared" si="2"/>
        <v>0</v>
      </c>
      <c r="O18" s="50" t="s">
        <v>563</v>
      </c>
      <c r="P18" s="6">
        <v>13</v>
      </c>
    </row>
    <row r="19" spans="1:16" hidden="1">
      <c r="A19" s="6" t="s">
        <v>1019</v>
      </c>
      <c r="B19" s="9">
        <v>45077.999305555553</v>
      </c>
      <c r="C19" s="6" t="s">
        <v>642</v>
      </c>
      <c r="D19" s="6" t="s">
        <v>667</v>
      </c>
      <c r="E19" s="6" t="s">
        <v>1013</v>
      </c>
      <c r="F19" s="6" t="s">
        <v>1005</v>
      </c>
      <c r="G19" s="6" t="s">
        <v>169</v>
      </c>
      <c r="H19" s="45">
        <v>685200</v>
      </c>
      <c r="I19" s="58">
        <f>IFERROR(INDEX(Inputs!$H$6:$H$53,MATCH(K19,Inputs!$F$6:$F$53,0)),Inputs!$B$6)</f>
        <v>15000</v>
      </c>
      <c r="J19" s="35">
        <f t="shared" si="0"/>
        <v>45.68</v>
      </c>
      <c r="K19" s="61">
        <f t="shared" si="1"/>
        <v>45047</v>
      </c>
      <c r="L19" s="24" t="str">
        <f>IF(COUNTIF(Bank_IDR!$J$8:$J$71,D19)+COUNTIF(Bank_USD!$J$8:$J$60,D19)&gt;0,"Matched",IF(B19&gt;MAX(Bank_IDR!$B$8:$B$71,Bank_USD!$B$8:$B$60),"Pending feed","Unmatched"))</f>
        <v>Matched</v>
      </c>
      <c r="M19" s="53">
        <v>0</v>
      </c>
      <c r="N19" s="53">
        <f t="shared" si="2"/>
        <v>0</v>
      </c>
      <c r="O19" s="50" t="s">
        <v>563</v>
      </c>
      <c r="P19" s="6">
        <v>14</v>
      </c>
    </row>
    <row r="20" spans="1:16" hidden="1">
      <c r="A20" s="6" t="s">
        <v>1020</v>
      </c>
      <c r="B20" s="9">
        <v>45107.999305555553</v>
      </c>
      <c r="C20" s="6" t="s">
        <v>642</v>
      </c>
      <c r="D20" s="6" t="s">
        <v>673</v>
      </c>
      <c r="E20" s="6" t="s">
        <v>1013</v>
      </c>
      <c r="F20" s="6" t="s">
        <v>1005</v>
      </c>
      <c r="G20" s="6" t="s">
        <v>169</v>
      </c>
      <c r="H20" s="45">
        <v>615300</v>
      </c>
      <c r="I20" s="58">
        <f>IFERROR(INDEX(Inputs!$H$6:$H$53,MATCH(K20,Inputs!$F$6:$F$53,0)),Inputs!$B$6)</f>
        <v>15000</v>
      </c>
      <c r="J20" s="35">
        <f t="shared" si="0"/>
        <v>41.02</v>
      </c>
      <c r="K20" s="61">
        <f t="shared" si="1"/>
        <v>45078</v>
      </c>
      <c r="L20" s="24" t="str">
        <f>IF(COUNTIF(Bank_IDR!$J$8:$J$71,D20)+COUNTIF(Bank_USD!$J$8:$J$60,D20)&gt;0,"Matched",IF(B20&gt;MAX(Bank_IDR!$B$8:$B$71,Bank_USD!$B$8:$B$60),"Pending feed","Unmatched"))</f>
        <v>Matched</v>
      </c>
      <c r="M20" s="53">
        <v>0</v>
      </c>
      <c r="N20" s="53">
        <f t="shared" si="2"/>
        <v>0</v>
      </c>
      <c r="O20" s="50" t="s">
        <v>563</v>
      </c>
      <c r="P20" s="6">
        <v>15</v>
      </c>
    </row>
    <row r="21" spans="1:16" hidden="1">
      <c r="A21" s="6" t="s">
        <v>1021</v>
      </c>
      <c r="B21" s="9">
        <v>45138.999305555553</v>
      </c>
      <c r="C21" s="6" t="s">
        <v>642</v>
      </c>
      <c r="D21" s="6" t="s">
        <v>677</v>
      </c>
      <c r="E21" s="6" t="s">
        <v>1013</v>
      </c>
      <c r="F21" s="6" t="s">
        <v>1005</v>
      </c>
      <c r="G21" s="6" t="s">
        <v>169</v>
      </c>
      <c r="H21" s="45">
        <v>504450.00000000006</v>
      </c>
      <c r="I21" s="58">
        <f>IFERROR(INDEX(Inputs!$H$6:$H$53,MATCH(K21,Inputs!$F$6:$F$53,0)),Inputs!$B$6)</f>
        <v>15000</v>
      </c>
      <c r="J21" s="35">
        <f t="shared" si="0"/>
        <v>33.630000000000003</v>
      </c>
      <c r="K21" s="61">
        <f t="shared" si="1"/>
        <v>45108</v>
      </c>
      <c r="L21" s="24" t="str">
        <f>IF(COUNTIF(Bank_IDR!$J$8:$J$71,D21)+COUNTIF(Bank_USD!$J$8:$J$60,D21)&gt;0,"Matched",IF(B21&gt;MAX(Bank_IDR!$B$8:$B$71,Bank_USD!$B$8:$B$60),"Pending feed","Unmatched"))</f>
        <v>Matched</v>
      </c>
      <c r="M21" s="53">
        <v>0</v>
      </c>
      <c r="N21" s="53">
        <f t="shared" si="2"/>
        <v>0</v>
      </c>
      <c r="O21" s="50" t="s">
        <v>563</v>
      </c>
      <c r="P21" s="6">
        <v>16</v>
      </c>
    </row>
    <row r="22" spans="1:16" hidden="1">
      <c r="A22" s="6" t="s">
        <v>1022</v>
      </c>
      <c r="B22" s="9">
        <v>45169.999305555553</v>
      </c>
      <c r="C22" s="6" t="s">
        <v>642</v>
      </c>
      <c r="D22" s="6" t="s">
        <v>681</v>
      </c>
      <c r="E22" s="6" t="s">
        <v>1013</v>
      </c>
      <c r="F22" s="6" t="s">
        <v>1005</v>
      </c>
      <c r="G22" s="6" t="s">
        <v>169</v>
      </c>
      <c r="H22" s="45">
        <v>468750</v>
      </c>
      <c r="I22" s="58">
        <f>IFERROR(INDEX(Inputs!$H$6:$H$53,MATCH(K22,Inputs!$F$6:$F$53,0)),Inputs!$B$6)</f>
        <v>15000</v>
      </c>
      <c r="J22" s="35">
        <f t="shared" si="0"/>
        <v>31.25</v>
      </c>
      <c r="K22" s="61">
        <f t="shared" si="1"/>
        <v>45139</v>
      </c>
      <c r="L22" s="24" t="str">
        <f>IF(COUNTIF(Bank_IDR!$J$8:$J$71,D22)+COUNTIF(Bank_USD!$J$8:$J$60,D22)&gt;0,"Matched",IF(B22&gt;MAX(Bank_IDR!$B$8:$B$71,Bank_USD!$B$8:$B$60),"Pending feed","Unmatched"))</f>
        <v>Matched</v>
      </c>
      <c r="M22" s="53">
        <v>0</v>
      </c>
      <c r="N22" s="53">
        <f t="shared" si="2"/>
        <v>0</v>
      </c>
      <c r="O22" s="50" t="s">
        <v>563</v>
      </c>
      <c r="P22" s="6">
        <v>17</v>
      </c>
    </row>
    <row r="23" spans="1:16" hidden="1">
      <c r="A23" s="6" t="s">
        <v>1023</v>
      </c>
      <c r="B23" s="9">
        <v>45199.999305555553</v>
      </c>
      <c r="C23" s="6" t="s">
        <v>642</v>
      </c>
      <c r="D23" s="6" t="s">
        <v>684</v>
      </c>
      <c r="E23" s="6" t="s">
        <v>1013</v>
      </c>
      <c r="F23" s="6" t="s">
        <v>1005</v>
      </c>
      <c r="G23" s="6" t="s">
        <v>169</v>
      </c>
      <c r="H23" s="45">
        <v>433350</v>
      </c>
      <c r="I23" s="58">
        <f>IFERROR(INDEX(Inputs!$H$6:$H$53,MATCH(K23,Inputs!$F$6:$F$53,0)),Inputs!$B$6)</f>
        <v>15000</v>
      </c>
      <c r="J23" s="35">
        <f t="shared" si="0"/>
        <v>28.89</v>
      </c>
      <c r="K23" s="61">
        <f t="shared" si="1"/>
        <v>45170</v>
      </c>
      <c r="L23" s="24" t="str">
        <f>IF(COUNTIF(Bank_IDR!$J$8:$J$71,D23)+COUNTIF(Bank_USD!$J$8:$J$60,D23)&gt;0,"Matched",IF(B23&gt;MAX(Bank_IDR!$B$8:$B$71,Bank_USD!$B$8:$B$60),"Pending feed","Unmatched"))</f>
        <v>Matched</v>
      </c>
      <c r="M23" s="53">
        <v>0</v>
      </c>
      <c r="N23" s="53">
        <f t="shared" si="2"/>
        <v>0</v>
      </c>
      <c r="O23" s="50" t="s">
        <v>563</v>
      </c>
      <c r="P23" s="6">
        <v>18</v>
      </c>
    </row>
    <row r="24" spans="1:16" hidden="1">
      <c r="A24" s="6" t="s">
        <v>1024</v>
      </c>
      <c r="B24" s="9">
        <v>45230.999305555553</v>
      </c>
      <c r="C24" s="6" t="s">
        <v>642</v>
      </c>
      <c r="D24" s="6" t="s">
        <v>691</v>
      </c>
      <c r="E24" s="6" t="s">
        <v>1013</v>
      </c>
      <c r="F24" s="6" t="s">
        <v>1005</v>
      </c>
      <c r="G24" s="6" t="s">
        <v>169</v>
      </c>
      <c r="H24" s="45">
        <v>435750</v>
      </c>
      <c r="I24" s="58">
        <f>IFERROR(INDEX(Inputs!$H$6:$H$53,MATCH(K24,Inputs!$F$6:$F$53,0)),Inputs!$B$6)</f>
        <v>15000</v>
      </c>
      <c r="J24" s="35">
        <f t="shared" si="0"/>
        <v>29.05</v>
      </c>
      <c r="K24" s="61">
        <f t="shared" si="1"/>
        <v>45200</v>
      </c>
      <c r="L24" s="24" t="str">
        <f>IF(COUNTIF(Bank_IDR!$J$8:$J$71,D24)+COUNTIF(Bank_USD!$J$8:$J$60,D24)&gt;0,"Matched",IF(B24&gt;MAX(Bank_IDR!$B$8:$B$71,Bank_USD!$B$8:$B$60),"Pending feed","Unmatched"))</f>
        <v>Matched</v>
      </c>
      <c r="M24" s="53">
        <v>0</v>
      </c>
      <c r="N24" s="53">
        <f t="shared" si="2"/>
        <v>0</v>
      </c>
      <c r="O24" s="50" t="s">
        <v>563</v>
      </c>
      <c r="P24" s="6">
        <v>19</v>
      </c>
    </row>
    <row r="25" spans="1:16" ht="24">
      <c r="A25" s="6" t="s">
        <v>1025</v>
      </c>
      <c r="B25" s="9">
        <v>45251.338888888888</v>
      </c>
      <c r="C25" s="6" t="s">
        <v>642</v>
      </c>
      <c r="D25" s="6" t="s">
        <v>695</v>
      </c>
      <c r="E25" s="6" t="s">
        <v>1026</v>
      </c>
      <c r="F25" s="6" t="s">
        <v>135</v>
      </c>
      <c r="G25" s="6" t="s">
        <v>135</v>
      </c>
      <c r="H25" s="45">
        <v>2340007500</v>
      </c>
      <c r="I25" s="58">
        <f>IFERROR(INDEX(Inputs!$H$6:$H$53,MATCH(K25,Inputs!$F$6:$F$53,0)),Inputs!$B$6)</f>
        <v>15000</v>
      </c>
      <c r="J25" s="35">
        <f t="shared" si="0"/>
        <v>156000.5</v>
      </c>
      <c r="K25" s="61">
        <f t="shared" si="1"/>
        <v>45231</v>
      </c>
      <c r="L25" s="24" t="str">
        <f>IF(COUNTIF(Bank_IDR!$J$8:$J$71,D25)+COUNTIF(Bank_USD!$J$8:$J$60,D25)&gt;0,"Matched",IF(B25&gt;MAX(Bank_IDR!$B$8:$B$71,Bank_USD!$B$8:$B$60),"Pending feed","Unmatched"))</f>
        <v>Matched</v>
      </c>
      <c r="M25" s="53">
        <v>800000</v>
      </c>
      <c r="N25" s="53">
        <f t="shared" si="2"/>
        <v>-643999.5</v>
      </c>
      <c r="O25" s="50" t="s">
        <v>694</v>
      </c>
      <c r="P25" s="6">
        <v>20</v>
      </c>
    </row>
    <row r="26" spans="1:16" ht="24">
      <c r="A26" s="6" t="s">
        <v>1027</v>
      </c>
      <c r="B26" s="9">
        <v>45252.477777777778</v>
      </c>
      <c r="C26" s="6" t="s">
        <v>642</v>
      </c>
      <c r="D26" s="6" t="s">
        <v>697</v>
      </c>
      <c r="E26" s="6" t="s">
        <v>1026</v>
      </c>
      <c r="F26" s="6" t="s">
        <v>135</v>
      </c>
      <c r="G26" s="6" t="s">
        <v>135</v>
      </c>
      <c r="H26" s="45">
        <v>2324992500</v>
      </c>
      <c r="I26" s="58">
        <f>IFERROR(INDEX(Inputs!$H$6:$H$53,MATCH(K26,Inputs!$F$6:$F$53,0)),Inputs!$B$6)</f>
        <v>15000</v>
      </c>
      <c r="J26" s="35">
        <f t="shared" si="0"/>
        <v>154999.5</v>
      </c>
      <c r="K26" s="61">
        <f t="shared" si="1"/>
        <v>45231</v>
      </c>
      <c r="L26" s="24" t="str">
        <f>IF(COUNTIF(Bank_IDR!$J$8:$J$71,D26)+COUNTIF(Bank_USD!$J$8:$J$60,D26)&gt;0,"Matched",IF(B26&gt;MAX(Bank_IDR!$B$8:$B$71,Bank_USD!$B$8:$B$60),"Pending feed","Unmatched"))</f>
        <v>Matched</v>
      </c>
      <c r="M26" s="53">
        <v>800000</v>
      </c>
      <c r="N26" s="53">
        <f t="shared" si="2"/>
        <v>-645000.5</v>
      </c>
      <c r="O26" s="50" t="s">
        <v>696</v>
      </c>
      <c r="P26" s="6">
        <v>21</v>
      </c>
    </row>
    <row r="27" spans="1:16" hidden="1">
      <c r="A27" s="6" t="s">
        <v>1028</v>
      </c>
      <c r="B27" s="9">
        <v>45260.999305555553</v>
      </c>
      <c r="C27" s="6" t="s">
        <v>560</v>
      </c>
      <c r="D27" s="6" t="s">
        <v>1029</v>
      </c>
      <c r="E27" s="6" t="s">
        <v>1004</v>
      </c>
      <c r="F27" s="6" t="s">
        <v>1005</v>
      </c>
      <c r="G27" s="6" t="s">
        <v>169</v>
      </c>
      <c r="H27" s="45">
        <v>4944.49</v>
      </c>
      <c r="I27" s="58">
        <f>IFERROR(INDEX(Inputs!$H$6:$H$53,MATCH(K27,Inputs!$F$6:$F$53,0)),Inputs!$B$6)</f>
        <v>15000</v>
      </c>
      <c r="J27" s="35">
        <f t="shared" si="0"/>
        <v>0.32963266666666663</v>
      </c>
      <c r="K27" s="61">
        <f t="shared" si="1"/>
        <v>45231</v>
      </c>
      <c r="L27" s="24" t="str">
        <f>IF(COUNTIF(Bank_IDR!$J$8:$J$71,D27)+COUNTIF(Bank_USD!$J$8:$J$60,D27)&gt;0,"Matched",IF(B27&gt;MAX(Bank_IDR!$B$8:$B$71,Bank_USD!$B$8:$B$60),"Pending feed","Unmatched"))</f>
        <v>Pending feed</v>
      </c>
      <c r="M27" s="53">
        <v>0</v>
      </c>
      <c r="N27" s="53">
        <f t="shared" si="2"/>
        <v>0</v>
      </c>
      <c r="O27" s="50" t="s">
        <v>563</v>
      </c>
      <c r="P27" s="6">
        <v>22</v>
      </c>
    </row>
    <row r="28" spans="1:16" ht="24">
      <c r="A28" s="6" t="s">
        <v>1030</v>
      </c>
      <c r="B28" s="9">
        <v>45257.341666666667</v>
      </c>
      <c r="C28" s="6" t="s">
        <v>642</v>
      </c>
      <c r="D28" s="6" t="s">
        <v>1031</v>
      </c>
      <c r="E28" s="6" t="s">
        <v>1026</v>
      </c>
      <c r="F28" s="6" t="s">
        <v>135</v>
      </c>
      <c r="G28" s="6" t="s">
        <v>135</v>
      </c>
      <c r="H28" s="45">
        <v>1163127000</v>
      </c>
      <c r="I28" s="58">
        <f>IFERROR(INDEX(Inputs!$H$6:$H$53,MATCH(K28,Inputs!$F$6:$F$53,0)),Inputs!$B$6)</f>
        <v>15000</v>
      </c>
      <c r="J28" s="35">
        <f t="shared" si="0"/>
        <v>77541.8</v>
      </c>
      <c r="K28" s="61">
        <f t="shared" si="1"/>
        <v>45231</v>
      </c>
      <c r="L28" s="24" t="str">
        <f>IF(COUNTIF(Bank_IDR!$J$8:$J$71,D28)+COUNTIF(Bank_USD!$J$8:$J$60,D28)&gt;0,"Matched",IF(B28&gt;MAX(Bank_IDR!$B$8:$B$71,Bank_USD!$B$8:$B$60),"Pending feed","Unmatched"))</f>
        <v>Pending feed</v>
      </c>
      <c r="M28" s="53">
        <v>800000</v>
      </c>
      <c r="N28" s="53">
        <f t="shared" si="2"/>
        <v>-722458.2</v>
      </c>
      <c r="O28" s="50" t="s">
        <v>1032</v>
      </c>
      <c r="P28" s="6">
        <v>23</v>
      </c>
    </row>
    <row r="29" spans="1:16" hidden="1">
      <c r="A29" s="7" t="s">
        <v>1033</v>
      </c>
      <c r="B29" s="56">
        <v>45260.999305555553</v>
      </c>
      <c r="C29" s="7" t="s">
        <v>642</v>
      </c>
      <c r="D29" s="7" t="s">
        <v>1034</v>
      </c>
      <c r="E29" s="7" t="s">
        <v>1013</v>
      </c>
      <c r="F29" s="7" t="s">
        <v>1005</v>
      </c>
      <c r="G29" s="7" t="s">
        <v>169</v>
      </c>
      <c r="H29" s="46">
        <v>383700</v>
      </c>
      <c r="I29" s="59">
        <f>IFERROR(INDEX(Inputs!$H$6:$H$53,MATCH(K29,Inputs!$F$6:$F$53,0)),Inputs!$B$6)</f>
        <v>15000</v>
      </c>
      <c r="J29" s="36">
        <f t="shared" si="0"/>
        <v>25.58</v>
      </c>
      <c r="K29" s="62">
        <f t="shared" si="1"/>
        <v>45231</v>
      </c>
      <c r="L29" s="25" t="str">
        <f>IF(COUNTIF(Bank_IDR!$J$8:$J$71,D29)+COUNTIF(Bank_USD!$J$8:$J$60,D29)&gt;0,"Matched",IF(B29&gt;MAX(Bank_IDR!$B$8:$B$71,Bank_USD!$B$8:$B$60),"Pending feed","Unmatched"))</f>
        <v>Pending feed</v>
      </c>
      <c r="M29" s="10">
        <v>0</v>
      </c>
      <c r="N29" s="10">
        <f t="shared" si="2"/>
        <v>0</v>
      </c>
      <c r="O29" s="51" t="s">
        <v>563</v>
      </c>
      <c r="P29" s="7">
        <v>24</v>
      </c>
    </row>
  </sheetData>
  <mergeCells count="2">
    <mergeCell ref="A1:P1"/>
    <mergeCell ref="A2:P2"/>
  </mergeCells>
  <conditionalFormatting sqref="L7:L29">
    <cfRule type="containsText" dxfId="8" priority="1" operator="containsText" text="PASS"/>
    <cfRule type="containsText" dxfId="7" priority="2" operator="containsText" text="FAIL"/>
    <cfRule type="containsText" dxfId="6" priority="3" operator="containsText" text="WARNING"/>
  </conditionalFormatting>
  <hyperlinks>
    <hyperlink ref="J1" location="Cover!A1" tooltip="Back to Cover" display="← Back to Cover" xr:uid="{BF7DF9D0-BC9B-4CC0-B3A6-8755F7B6A49D}"/>
    <hyperlink ref="N1" location="Cover!A1" tooltip="Back to Cover" display="← Back to Cover" xr:uid="{9298880B-47BF-4364-8536-1AFA335A68B0}"/>
    <hyperlink ref="N4" location="Cover!A1" tooltip="Back to Cover" display="← Back to Cover" xr:uid="{5B9F832F-D1A5-4FAA-8F0D-2126BF5D1014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N25"/>
  <sheetViews>
    <sheetView showGridLines="0" workbookViewId="0">
      <selection activeCell="B32" sqref="B32"/>
    </sheetView>
  </sheetViews>
  <sheetFormatPr defaultRowHeight="13.5"/>
  <cols>
    <col min="1" max="1" width="11" customWidth="1"/>
    <col min="2" max="2" width="42" customWidth="1"/>
    <col min="3" max="6" width="18" customWidth="1"/>
    <col min="7" max="7" width="13" customWidth="1"/>
    <col min="8" max="8" width="48" customWidth="1"/>
  </cols>
  <sheetData>
    <row r="1" spans="1:14" ht="30" customHeight="1">
      <c r="A1" s="146" t="s">
        <v>1035</v>
      </c>
      <c r="B1" s="147"/>
      <c r="C1" s="147"/>
      <c r="D1" s="147"/>
      <c r="E1" s="147"/>
      <c r="F1" s="147"/>
      <c r="G1" s="147"/>
      <c r="H1" s="147"/>
      <c r="J1" s="124" t="s">
        <v>99</v>
      </c>
      <c r="N1" s="125"/>
    </row>
    <row r="2" spans="1:14" ht="28.15" customHeight="1">
      <c r="A2" s="150" t="s">
        <v>1036</v>
      </c>
      <c r="B2" s="147"/>
      <c r="C2" s="147"/>
      <c r="D2" s="147"/>
      <c r="E2" s="147"/>
      <c r="F2" s="147"/>
      <c r="G2" s="147"/>
      <c r="H2" s="147"/>
    </row>
    <row r="4" spans="1:14" ht="18">
      <c r="A4" s="184" t="s">
        <v>1037</v>
      </c>
      <c r="B4" s="147"/>
      <c r="C4" s="147"/>
      <c r="D4" s="147"/>
      <c r="E4" s="147"/>
      <c r="F4" s="147"/>
      <c r="G4" s="147"/>
      <c r="N4" s="123" t="s">
        <v>99</v>
      </c>
    </row>
    <row r="5" spans="1:14" ht="15.75">
      <c r="A5" s="185" t="s">
        <v>1038</v>
      </c>
      <c r="B5" s="185"/>
      <c r="C5" s="185"/>
      <c r="D5" s="185"/>
      <c r="E5" s="185"/>
      <c r="F5" s="185"/>
      <c r="G5" s="116" t="str">
        <f>IF(COUNTIF(G9:G25,"FAIL")&gt;0,"FAIL",IF(COUNTIF(G9:G25,"WARNING")&gt;0,"WARNING","PASS"))</f>
        <v>PASS</v>
      </c>
    </row>
    <row r="8" spans="1:14" ht="30" customHeight="1">
      <c r="A8" s="2" t="s">
        <v>1039</v>
      </c>
      <c r="B8" s="3" t="s">
        <v>182</v>
      </c>
      <c r="C8" s="3" t="s">
        <v>166</v>
      </c>
      <c r="D8" s="3" t="s">
        <v>226</v>
      </c>
      <c r="E8" s="3" t="s">
        <v>227</v>
      </c>
      <c r="F8" s="3" t="s">
        <v>1040</v>
      </c>
      <c r="G8" s="3" t="s">
        <v>192</v>
      </c>
      <c r="H8" s="4" t="s">
        <v>1041</v>
      </c>
    </row>
    <row r="9" spans="1:14">
      <c r="A9" s="5" t="s">
        <v>1042</v>
      </c>
      <c r="B9" s="49" t="s">
        <v>1043</v>
      </c>
      <c r="C9" s="69">
        <f>SUM(Villas!$P$6:$P$14)</f>
        <v>1</v>
      </c>
      <c r="D9" s="69">
        <v>1</v>
      </c>
      <c r="E9" s="69">
        <f t="shared" ref="E9:E25" si="0">C9-D9</f>
        <v>0</v>
      </c>
      <c r="F9" s="27">
        <v>1E-4</v>
      </c>
      <c r="G9" s="5" t="str">
        <f t="shared" ref="G9:G17" si="1">IF(ABS(E9)&lt;=F9,"PASS","FAIL")</f>
        <v>PASS</v>
      </c>
      <c r="H9" s="49" t="s">
        <v>1044</v>
      </c>
    </row>
    <row r="10" spans="1:14">
      <c r="A10" s="6" t="s">
        <v>1045</v>
      </c>
      <c r="B10" s="50" t="s">
        <v>1046</v>
      </c>
      <c r="C10" s="70">
        <f>SUM(Villas!$Q$6:$Q$14)</f>
        <v>1</v>
      </c>
      <c r="D10" s="70">
        <v>1</v>
      </c>
      <c r="E10" s="70">
        <f t="shared" si="0"/>
        <v>0</v>
      </c>
      <c r="F10" s="29">
        <v>1E-4</v>
      </c>
      <c r="G10" s="6" t="str">
        <f t="shared" si="1"/>
        <v>PASS</v>
      </c>
      <c r="H10" s="50" t="s">
        <v>1047</v>
      </c>
    </row>
    <row r="11" spans="1:14">
      <c r="A11" s="6" t="s">
        <v>1048</v>
      </c>
      <c r="B11" s="50" t="s">
        <v>1049</v>
      </c>
      <c r="C11" s="70">
        <f>SUM(Allocation!$N$7:$N$38)</f>
        <v>0</v>
      </c>
      <c r="D11" s="70">
        <v>0</v>
      </c>
      <c r="E11" s="70">
        <f t="shared" si="0"/>
        <v>0</v>
      </c>
      <c r="F11" s="29">
        <v>1</v>
      </c>
      <c r="G11" s="6" t="str">
        <f t="shared" si="1"/>
        <v>PASS</v>
      </c>
      <c r="H11" s="50" t="s">
        <v>1050</v>
      </c>
    </row>
    <row r="12" spans="1:14">
      <c r="A12" s="6" t="s">
        <v>1051</v>
      </c>
      <c r="B12" s="50" t="s">
        <v>1052</v>
      </c>
      <c r="C12" s="70">
        <f>SUM(Allocation!$N$44:$N$75)</f>
        <v>0</v>
      </c>
      <c r="D12" s="70">
        <v>0</v>
      </c>
      <c r="E12" s="70">
        <f t="shared" si="0"/>
        <v>0</v>
      </c>
      <c r="F12" s="29">
        <v>1</v>
      </c>
      <c r="G12" s="6" t="str">
        <f t="shared" si="1"/>
        <v>PASS</v>
      </c>
      <c r="H12" s="50" t="s">
        <v>1053</v>
      </c>
    </row>
    <row r="13" spans="1:14">
      <c r="A13" s="6" t="s">
        <v>1054</v>
      </c>
      <c r="B13" s="50" t="s">
        <v>1055</v>
      </c>
      <c r="C13" s="70">
        <f>SUM(Allocation!$N$81:$N$112)</f>
        <v>0</v>
      </c>
      <c r="D13" s="70">
        <v>0</v>
      </c>
      <c r="E13" s="70">
        <f t="shared" si="0"/>
        <v>0</v>
      </c>
      <c r="F13" s="29">
        <v>1</v>
      </c>
      <c r="G13" s="6" t="str">
        <f t="shared" si="1"/>
        <v>PASS</v>
      </c>
      <c r="H13" s="50" t="s">
        <v>1056</v>
      </c>
    </row>
    <row r="14" spans="1:14">
      <c r="A14" s="6" t="s">
        <v>1057</v>
      </c>
      <c r="B14" s="50" t="s">
        <v>1058</v>
      </c>
      <c r="C14" s="70">
        <f>'Unit P&amp;L'!$M$17</f>
        <v>10250864.574367575</v>
      </c>
      <c r="D14" s="70">
        <f>SUMIFS(Budget!$J$7:$J$38,Budget!$D$7:$D$38,"Yes")</f>
        <v>10250864.574367577</v>
      </c>
      <c r="E14" s="70">
        <f t="shared" si="0"/>
        <v>0</v>
      </c>
      <c r="F14" s="29">
        <v>1</v>
      </c>
      <c r="G14" s="6" t="str">
        <f t="shared" si="1"/>
        <v>PASS</v>
      </c>
      <c r="H14" s="50" t="s">
        <v>1059</v>
      </c>
    </row>
    <row r="15" spans="1:14">
      <c r="A15" s="6" t="s">
        <v>1060</v>
      </c>
      <c r="B15" s="50" t="s">
        <v>1061</v>
      </c>
      <c r="C15" s="70">
        <f>SUM('Sales Plan'!$E$48:$E$56)</f>
        <v>0</v>
      </c>
      <c r="D15" s="70">
        <v>0</v>
      </c>
      <c r="E15" s="70">
        <f t="shared" si="0"/>
        <v>0</v>
      </c>
      <c r="F15" s="29">
        <v>1</v>
      </c>
      <c r="G15" s="6" t="str">
        <f t="shared" si="1"/>
        <v>PASS</v>
      </c>
      <c r="H15" s="50" t="s">
        <v>1062</v>
      </c>
    </row>
    <row r="16" spans="1:14">
      <c r="A16" s="6" t="s">
        <v>1063</v>
      </c>
      <c r="B16" s="50" t="s">
        <v>1064</v>
      </c>
      <c r="C16" s="70">
        <f>SUM('Cash Flow'!$G$14:AC$14)</f>
        <v>832913.09239798947</v>
      </c>
      <c r="D16" s="70">
        <f>SUMIFS(Inflows!$J$7:$J$29,Inflows!$B$7:$B$29,"&lt;="&amp;Inputs!$B$11)</f>
        <v>832913.09239798947</v>
      </c>
      <c r="E16" s="70">
        <f t="shared" si="0"/>
        <v>0</v>
      </c>
      <c r="F16" s="29">
        <v>1</v>
      </c>
      <c r="G16" s="6" t="str">
        <f t="shared" si="1"/>
        <v>PASS</v>
      </c>
      <c r="H16" s="50" t="s">
        <v>1065</v>
      </c>
    </row>
    <row r="17" spans="1:8">
      <c r="A17" s="6" t="s">
        <v>1066</v>
      </c>
      <c r="B17" s="50" t="s">
        <v>1067</v>
      </c>
      <c r="C17" s="70">
        <f>SUM('Cash Flow'!$G$49:AC$49)</f>
        <v>788238.54985582887</v>
      </c>
      <c r="D17" s="70">
        <f>SUMIFS(Outflows!$L$7:$L$163,Outflows!$B$7:$B$163,"&lt;="&amp;Inputs!$B$11)</f>
        <v>788238.5498558291</v>
      </c>
      <c r="E17" s="70">
        <f t="shared" si="0"/>
        <v>0</v>
      </c>
      <c r="F17" s="29">
        <v>1</v>
      </c>
      <c r="G17" s="6" t="str">
        <f t="shared" si="1"/>
        <v>PASS</v>
      </c>
      <c r="H17" s="50" t="s">
        <v>1068</v>
      </c>
    </row>
    <row r="18" spans="1:8">
      <c r="A18" s="6" t="s">
        <v>1069</v>
      </c>
      <c r="B18" s="50" t="s">
        <v>1070</v>
      </c>
      <c r="C18" s="70">
        <f>COUNTIF(Outflows!$H$7:$H$163,"Unmapped")</f>
        <v>0</v>
      </c>
      <c r="D18" s="70">
        <v>0</v>
      </c>
      <c r="E18" s="70">
        <f t="shared" si="0"/>
        <v>0</v>
      </c>
      <c r="F18" s="29">
        <v>0</v>
      </c>
      <c r="G18" s="6" t="str">
        <f>IF(E18=0,"PASS","FAIL")</f>
        <v>PASS</v>
      </c>
      <c r="H18" s="50" t="s">
        <v>1071</v>
      </c>
    </row>
    <row r="19" spans="1:8">
      <c r="A19" s="6" t="s">
        <v>1072</v>
      </c>
      <c r="B19" s="50" t="s">
        <v>1073</v>
      </c>
      <c r="C19" s="70">
        <f>COUNTIF(Outflows!$N$7:$N$163,"Unmatched")</f>
        <v>0</v>
      </c>
      <c r="D19" s="70">
        <v>0</v>
      </c>
      <c r="E19" s="70">
        <f t="shared" si="0"/>
        <v>0</v>
      </c>
      <c r="F19" s="29">
        <v>0</v>
      </c>
      <c r="G19" s="6" t="str">
        <f>IF(E19=0,"PASS","FAIL")</f>
        <v>PASS</v>
      </c>
      <c r="H19" s="50" t="s">
        <v>1074</v>
      </c>
    </row>
    <row r="20" spans="1:8">
      <c r="A20" s="6" t="s">
        <v>1075</v>
      </c>
      <c r="B20" s="50" t="s">
        <v>1076</v>
      </c>
      <c r="C20" s="70">
        <f>COUNTIF(Inflows!$L$7:$L$29,"Unmatched")</f>
        <v>0</v>
      </c>
      <c r="D20" s="70">
        <v>0</v>
      </c>
      <c r="E20" s="70">
        <f t="shared" si="0"/>
        <v>0</v>
      </c>
      <c r="F20" s="29">
        <v>0</v>
      </c>
      <c r="G20" s="6" t="str">
        <f>IF(E20=0,"PASS","FAIL")</f>
        <v>PASS</v>
      </c>
      <c r="H20" s="50" t="s">
        <v>1077</v>
      </c>
    </row>
    <row r="21" spans="1:8">
      <c r="A21" s="6" t="s">
        <v>1078</v>
      </c>
      <c r="B21" s="50" t="s">
        <v>1079</v>
      </c>
      <c r="C21" s="70">
        <f>Bank_IDR!$D$5</f>
        <v>7.4505805969238281E-8</v>
      </c>
      <c r="D21" s="70">
        <v>0</v>
      </c>
      <c r="E21" s="70">
        <f t="shared" si="0"/>
        <v>7.4505805969238281E-8</v>
      </c>
      <c r="F21" s="29">
        <v>1</v>
      </c>
      <c r="G21" s="6" t="str">
        <f>IF(ABS(E21)&lt;=F21,"PASS","WARNING")</f>
        <v>PASS</v>
      </c>
      <c r="H21" s="50" t="s">
        <v>1080</v>
      </c>
    </row>
    <row r="22" spans="1:8">
      <c r="A22" s="6" t="s">
        <v>1081</v>
      </c>
      <c r="B22" s="50" t="s">
        <v>1082</v>
      </c>
      <c r="C22" s="70">
        <f>Bank_USD!$D$5</f>
        <v>0</v>
      </c>
      <c r="D22" s="70">
        <v>0</v>
      </c>
      <c r="E22" s="70">
        <f t="shared" si="0"/>
        <v>0</v>
      </c>
      <c r="F22" s="29">
        <v>1</v>
      </c>
      <c r="G22" s="6" t="str">
        <f>IF(ABS(E22)&lt;=F22,"PASS","WARNING")</f>
        <v>PASS</v>
      </c>
      <c r="H22" s="50" t="s">
        <v>1083</v>
      </c>
    </row>
    <row r="23" spans="1:8">
      <c r="A23" s="6" t="s">
        <v>1084</v>
      </c>
      <c r="B23" s="50" t="s">
        <v>1085</v>
      </c>
      <c r="C23" s="70">
        <f>'Cash Flow'!BA$54-'Cash Flow'!BA$53-'Cash Flow'!BA$52</f>
        <v>0</v>
      </c>
      <c r="D23" s="70">
        <v>0</v>
      </c>
      <c r="E23" s="70">
        <f t="shared" si="0"/>
        <v>0</v>
      </c>
      <c r="F23" s="29">
        <v>1</v>
      </c>
      <c r="G23" s="6" t="str">
        <f>IF(ABS(E23)&lt;=F23,"PASS","FAIL")</f>
        <v>PASS</v>
      </c>
      <c r="H23" s="50" t="s">
        <v>1086</v>
      </c>
    </row>
    <row r="24" spans="1:8">
      <c r="A24" s="6" t="s">
        <v>1087</v>
      </c>
      <c r="B24" s="50" t="s">
        <v>1088</v>
      </c>
      <c r="C24" s="70">
        <f>COUNTIF(Budget!$M$7:$M$38,"&lt;0")</f>
        <v>0</v>
      </c>
      <c r="D24" s="70">
        <v>0</v>
      </c>
      <c r="E24" s="70">
        <f t="shared" si="0"/>
        <v>0</v>
      </c>
      <c r="F24" s="29">
        <v>0</v>
      </c>
      <c r="G24" s="6" t="str">
        <f>IF(E24=0,"PASS","FAIL")</f>
        <v>PASS</v>
      </c>
      <c r="H24" s="50" t="s">
        <v>1089</v>
      </c>
    </row>
    <row r="25" spans="1:8">
      <c r="A25" s="6" t="s">
        <v>1090</v>
      </c>
      <c r="B25" s="50" t="s">
        <v>1091</v>
      </c>
      <c r="C25" s="70">
        <f>'Unit P&amp;L'!$M$8</f>
        <v>12067713.053679582</v>
      </c>
      <c r="D25" s="70">
        <f>SUM(Villas!$K$6:$L$14)</f>
        <v>12067713.053679582</v>
      </c>
      <c r="E25" s="70">
        <f t="shared" si="0"/>
        <v>0</v>
      </c>
      <c r="F25" s="29">
        <v>1</v>
      </c>
      <c r="G25" s="6" t="str">
        <f>IF(ABS(E25)&lt;=F25,"PASS","FAIL")</f>
        <v>PASS</v>
      </c>
      <c r="H25" s="50" t="s">
        <v>1092</v>
      </c>
    </row>
  </sheetData>
  <mergeCells count="4">
    <mergeCell ref="A1:H1"/>
    <mergeCell ref="A2:H2"/>
    <mergeCell ref="A4:G4"/>
    <mergeCell ref="A5:F5"/>
  </mergeCells>
  <conditionalFormatting sqref="G5">
    <cfRule type="containsText" dxfId="5" priority="1" operator="containsText" text="PASS"/>
    <cfRule type="containsText" dxfId="4" priority="2" operator="containsText" text="FAIL"/>
    <cfRule type="containsText" dxfId="3" priority="3" operator="containsText" text="WARNING"/>
  </conditionalFormatting>
  <conditionalFormatting sqref="G9:G25">
    <cfRule type="containsText" dxfId="2" priority="5" operator="containsText" text="PASS"/>
    <cfRule type="containsText" dxfId="1" priority="6" operator="containsText" text="FAIL"/>
    <cfRule type="containsText" dxfId="0" priority="7" operator="containsText" text="WARNING"/>
  </conditionalFormatting>
  <hyperlinks>
    <hyperlink ref="J1" location="Cover!A1" tooltip="Back to Cover" display="← Back to Cover" xr:uid="{34229E92-C90F-4D88-BA64-9B2605A68F66}"/>
    <hyperlink ref="N4" location="Cover!A1" tooltip="Back to Cover" display="← Back to Cover" xr:uid="{95912F95-11D3-457B-9188-411397A8F76A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</vt:lpstr>
      <vt:lpstr>Dashboard</vt:lpstr>
      <vt:lpstr>Unit P&amp;L</vt:lpstr>
      <vt:lpstr>Cash Flow</vt:lpstr>
      <vt:lpstr>Allocation</vt:lpstr>
      <vt:lpstr>Villas</vt:lpstr>
      <vt:lpstr>Sales Plan</vt:lpstr>
      <vt:lpstr>Budget</vt:lpstr>
      <vt:lpstr>Inputs</vt:lpstr>
      <vt:lpstr>Vendors</vt:lpstr>
      <vt:lpstr>Outflows</vt:lpstr>
      <vt:lpstr>Inflows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Martinez Barcia</dc:creator>
  <cp:keywords/>
  <dc:description/>
  <cp:lastModifiedBy>Isaac Martinez Barcia</cp:lastModifiedBy>
  <cp:revision/>
  <dcterms:created xsi:type="dcterms:W3CDTF">2026-07-27T11:57:21Z</dcterms:created>
  <dcterms:modified xsi:type="dcterms:W3CDTF">2026-08-12T19:39:08Z</dcterms:modified>
  <cp:category/>
  <cp:contentStatus/>
</cp:coreProperties>
</file>