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6"/>
  </bookViews>
  <sheets>
    <sheet name="Summary Dashboard" sheetId="1" state="hidden" r:id="rId3"/>
    <sheet name="Income and Revenue" sheetId="2" state="visible" r:id="rId4"/>
    <sheet name="Financials Short" sheetId="3" state="visible" r:id="rId5"/>
    <sheet name="Country Sales &amp; Assumptions" sheetId="4" state="visible" r:id="rId6"/>
    <sheet name="Financial Statements" sheetId="5" state="visible" r:id="rId7"/>
    <sheet name="SalesxCafe" sheetId="6" state="visible" r:id="rId8"/>
    <sheet name="Sheet1" sheetId="7" state="visible" r:id="rId9"/>
    <sheet name="Investment Analysis" sheetId="8" state="hidden" r:id="rId10"/>
    <sheet name="Sensitivity Analysis" sheetId="9" state="hidden" r:id="rId11"/>
    <sheet name="Scenario Planning" sheetId="10" state="hidden" r:id="rId12"/>
    <sheet name="KPIs and Metrics" sheetId="11" state="hidden" r:id="rId13"/>
    <sheet name="Debt and Equity Financing" sheetId="12" state="hidden" r:id="rId14"/>
  </sheets>
  <definedNames>
    <definedName function="false" hidden="false" name="Baseline_Income_Projections" vbProcedure="false">'Country Sales &amp; Assumptions'!$G$13:$L$20</definedName>
    <definedName function="false" hidden="false" name="Baseline_Income_Table" vbProcedure="false">'country sales &amp; assumptions'!#ref!</definedName>
    <definedName function="false" hidden="false" name="Income_Baseline" vbProcedure="false">'country sales &amp; assumptions'!#ref!</definedName>
    <definedName function="false" hidden="false" name="Seasonality_Table_Gulf" vbProcedure="false">'Country Sales &amp; Assumptions'!$C$4:$E$15</definedName>
    <definedName function="false" hidden="false" name="Seasonality_Table_Mediterranean" vbProcedure="false">'Country Sales &amp; Assumptions'!$C$18:$E$30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<sst xmlns="http://schemas.openxmlformats.org/spreadsheetml/2006/main" count="778" uniqueCount="300">
  <si>
    <t xml:space="preserve">Café Muse Management Company - Income Model</t>
  </si>
  <si>
    <t xml:space="preserve">Average monthly revenue per café based on market research</t>
  </si>
  <si>
    <t xml:space="preserve">Time Frame: 3 Years</t>
  </si>
  <si>
    <t xml:space="preserve">Royalty calculated monthly</t>
  </si>
  <si>
    <t xml:space="preserve">Revenue Model: 6% over mothly café revenues with a $10k minimum</t>
  </si>
  <si>
    <t xml:space="preserve">Currency: USD</t>
  </si>
  <si>
    <t xml:space="preserve">Store</t>
  </si>
  <si>
    <t xml:space="preserve">Country</t>
  </si>
  <si>
    <t xml:space="preserve">City/Location</t>
  </si>
  <si>
    <t xml:space="preserve">Opening Date</t>
  </si>
  <si>
    <t xml:space="preserve">Licensing time</t>
  </si>
  <si>
    <t xml:space="preserve">Initial One-Time Fee</t>
  </si>
  <si>
    <t xml:space="preserve">Total Royalties</t>
  </si>
  <si>
    <t xml:space="preserve">2023</t>
  </si>
  <si>
    <t xml:space="preserve">2024</t>
  </si>
  <si>
    <t xml:space="preserve">2025</t>
  </si>
  <si>
    <t xml:space="preserve">2026</t>
  </si>
  <si>
    <t xml:space="preserve">Check</t>
  </si>
  <si>
    <t xml:space="preserve">Saudi_Arabia</t>
  </si>
  <si>
    <t xml:space="preserve">Riyadh</t>
  </si>
  <si>
    <t xml:space="preserve">Jeddah</t>
  </si>
  <si>
    <t xml:space="preserve">Qatar</t>
  </si>
  <si>
    <t xml:space="preserve">Doha</t>
  </si>
  <si>
    <t xml:space="preserve">UAE</t>
  </si>
  <si>
    <t xml:space="preserve">Dubai</t>
  </si>
  <si>
    <t xml:space="preserve">Abu Dhabi</t>
  </si>
  <si>
    <t xml:space="preserve">DXB Airport</t>
  </si>
  <si>
    <t xml:space="preserve">Kuwait</t>
  </si>
  <si>
    <t xml:space="preserve">Kuwait City</t>
  </si>
  <si>
    <t xml:space="preserve">Turkey</t>
  </si>
  <si>
    <t xml:space="preserve">Istanbul</t>
  </si>
  <si>
    <t xml:space="preserve">Morocco</t>
  </si>
  <si>
    <t xml:space="preserve">Marrakech</t>
  </si>
  <si>
    <t xml:space="preserve">Egypt</t>
  </si>
  <si>
    <t xml:space="preserve">Cairo</t>
  </si>
  <si>
    <t xml:space="preserve">EBITDA Multiple</t>
  </si>
  <si>
    <t xml:space="preserve">Business Valuation year 3</t>
  </si>
  <si>
    <t xml:space="preserve">20% Equity</t>
  </si>
  <si>
    <t xml:space="preserve">Capital to raise with 25% IRR</t>
  </si>
  <si>
    <t xml:space="preserve">IRR with desired capital</t>
  </si>
  <si>
    <t xml:space="preserve">Capital to raise</t>
  </si>
  <si>
    <t xml:space="preserve">Nº of years</t>
  </si>
  <si>
    <t xml:space="preserve">P&amp;L</t>
  </si>
  <si>
    <t xml:space="preserve">Revenue</t>
  </si>
  <si>
    <t xml:space="preserve">Deferred Revenue Recognition</t>
  </si>
  <si>
    <t xml:space="preserve">Revenue from Shops</t>
  </si>
  <si>
    <t xml:space="preserve">Total Revenue</t>
  </si>
  <si>
    <t xml:space="preserve">Total COGS</t>
  </si>
  <si>
    <t xml:space="preserve">Total Operating Expenses</t>
  </si>
  <si>
    <t xml:space="preserve">EBITDA</t>
  </si>
  <si>
    <t xml:space="preserve">EBITDA margin</t>
  </si>
  <si>
    <t xml:space="preserve">CASHFLOW</t>
  </si>
  <si>
    <t xml:space="preserve">Cash balance Satarting</t>
  </si>
  <si>
    <t xml:space="preserve">Net cashflow from operating activities</t>
  </si>
  <si>
    <t xml:space="preserve">Cash coming from New Oppenings</t>
  </si>
  <si>
    <t xml:space="preserve">Cash Balance Ending</t>
  </si>
  <si>
    <t xml:space="preserve">BALANCE SHEET</t>
  </si>
  <si>
    <t xml:space="preserve">ASSETS</t>
  </si>
  <si>
    <t xml:space="preserve">FIXED ASSETS</t>
  </si>
  <si>
    <t xml:space="preserve">IP License</t>
  </si>
  <si>
    <t xml:space="preserve">CURRENT ASSETS</t>
  </si>
  <si>
    <t xml:space="preserve">Cash</t>
  </si>
  <si>
    <t xml:space="preserve">TOTAL ASSETS</t>
  </si>
  <si>
    <t xml:space="preserve">LIABILITIES</t>
  </si>
  <si>
    <t xml:space="preserve">Credit Deferred Revenue</t>
  </si>
  <si>
    <t xml:space="preserve">TOTAL LIABILITIES</t>
  </si>
  <si>
    <t xml:space="preserve">EQUITY</t>
  </si>
  <si>
    <t xml:space="preserve">Qwner's share capital</t>
  </si>
  <si>
    <t xml:space="preserve">Profit and Loss Account</t>
  </si>
  <si>
    <t xml:space="preserve">Prior Periods' Retained Earnings</t>
  </si>
  <si>
    <t xml:space="preserve">TOTAL EQUITY</t>
  </si>
  <si>
    <t xml:space="preserve">TOTAL EQUITY &amp; LIABILITIES</t>
  </si>
  <si>
    <t xml:space="preserve">Table: Economic and F&amp;B Sector Growth (Estimates)</t>
  </si>
  <si>
    <t xml:space="preserve">Saudi Arabia (Baseline: 100%)</t>
  </si>
  <si>
    <t xml:space="preserve">Seasonality Calendar for Gulf Countries</t>
  </si>
  <si>
    <t xml:space="preserve">GDP Growth (2018-2023)</t>
  </si>
  <si>
    <t xml:space="preserve">GDP Projection (2023-28)</t>
  </si>
  <si>
    <t xml:space="preserve">F&amp;B Growth 2018-2023</t>
  </si>
  <si>
    <t xml:space="preserve">F&amp;B Growth 2023-28</t>
  </si>
  <si>
    <t xml:space="preserve">Economic Profile: Saudi Arabia has a large population and a growing economy, but consumer spending patterns can be conservative due to cultural factors.</t>
  </si>
  <si>
    <t xml:space="preserve">Month</t>
  </si>
  <si>
    <t xml:space="preserve">% Sales</t>
  </si>
  <si>
    <t xml:space="preserve">Comments on Seasonality</t>
  </si>
  <si>
    <t xml:space="preserve">Saudi Arabia</t>
  </si>
  <si>
    <t xml:space="preserve">Market Size: The size of the market in Riyadh might be larger compared to major cities in Qatar and UAE, impacting sales.</t>
  </si>
  <si>
    <t xml:space="preserve">January</t>
  </si>
  <si>
    <t xml:space="preserve">Cooler weather, post-holiday tourism</t>
  </si>
  <si>
    <t xml:space="preserve">February</t>
  </si>
  <si>
    <t xml:space="preserve">Cool weather, regular tourist activity</t>
  </si>
  <si>
    <t xml:space="preserve">March</t>
  </si>
  <si>
    <t xml:space="preserve">End of cool season, local tourism before Ramadan</t>
  </si>
  <si>
    <t xml:space="preserve">April</t>
  </si>
  <si>
    <t xml:space="preserve">Possible impact of Ramadan, evening sales may increase</t>
  </si>
  <si>
    <t xml:space="preserve">Economic Profile: Qatar has a high GDP per capita, indicating a potentially higher consumer spending power.</t>
  </si>
  <si>
    <t xml:space="preserve">May</t>
  </si>
  <si>
    <t xml:space="preserve">End of Ramadan, Eid celebrations, fluctuating patterns</t>
  </si>
  <si>
    <t xml:space="preserve">Market Size: The population is smaller than Saudi Arabia, which could limit the total market size.</t>
  </si>
  <si>
    <t xml:space="preserve">June</t>
  </si>
  <si>
    <t xml:space="preserve">Start of extreme heat, likely dip in day-time foot traffic</t>
  </si>
  <si>
    <t xml:space="preserve">Consumer Behavior: Qatar has a significant expatriate community, which might influence café culture and spending habits.</t>
  </si>
  <si>
    <t xml:space="preserve">July</t>
  </si>
  <si>
    <t xml:space="preserve">Peak of hot season, lowest foot traffic</t>
  </si>
  <si>
    <t xml:space="preserve">Estimated % for Qatar: 120-130%</t>
  </si>
  <si>
    <t xml:space="preserve">August</t>
  </si>
  <si>
    <t xml:space="preserve">Continuation of extreme heat, slight recovery due to vacations</t>
  </si>
  <si>
    <t xml:space="preserve">Rationale: Higher GDP per capita and potential for higher average spend per customer, offset by a smaller overall market size.</t>
  </si>
  <si>
    <t xml:space="preserve">September</t>
  </si>
  <si>
    <t xml:space="preserve">Start of school season, moderate climate</t>
  </si>
  <si>
    <t xml:space="preserve">October</t>
  </si>
  <si>
    <t xml:space="preserve">Cooling down, start of peak season for tourism</t>
  </si>
  <si>
    <t xml:space="preserve">Baseline %</t>
  </si>
  <si>
    <t xml:space="preserve">Year 0</t>
  </si>
  <si>
    <t xml:space="preserve">Year 1</t>
  </si>
  <si>
    <t xml:space="preserve">Year 2</t>
  </si>
  <si>
    <t xml:space="preserve">Year 3</t>
  </si>
  <si>
    <t xml:space="preserve">November</t>
  </si>
  <si>
    <t xml:space="preserve">Pleasant climate, high tourist activity</t>
  </si>
  <si>
    <t xml:space="preserve">UAE (particularly Dubai and Abu Dhabi)</t>
  </si>
  <si>
    <t xml:space="preserve">December</t>
  </si>
  <si>
    <t xml:space="preserve">Year-end holidays, peak tourism and spending</t>
  </si>
  <si>
    <t xml:space="preserve">Economic Profile: Similar to Qatar, UAE has a high GDP per capita. Dubai and Abu Dhabi are major tourist and expatriate hubs.</t>
  </si>
  <si>
    <t xml:space="preserve">Market Size: Larger than Qatar, with a diverse international community and a strong café culture.</t>
  </si>
  <si>
    <t xml:space="preserve">Seasonality Calendar for Mediterranean sea Countries</t>
  </si>
  <si>
    <t xml:space="preserve">Consumer Behavior: High levels of tourism and an international population could lead to diverse and potentially higher spending in cafés.</t>
  </si>
  <si>
    <t xml:space="preserve">Estimated % for UAE: 135%</t>
  </si>
  <si>
    <t xml:space="preserve">Cooler weather, but less extreme; steady tourist activity</t>
  </si>
  <si>
    <t xml:space="preserve">Rationale: Larger market size with significant tourism and expatriate presence, contributing to potentially higher sales, despite competition.</t>
  </si>
  <si>
    <t xml:space="preserve">Cool weather continues; moderate tourist activity</t>
  </si>
  <si>
    <t xml:space="preserve">Beginning of spring; increase in local and regional tourism</t>
  </si>
  <si>
    <t xml:space="preserve">Spring season; peak in tourist activity before hot months</t>
  </si>
  <si>
    <t xml:space="preserve">Pleasant weather; high tourist activity continues</t>
  </si>
  <si>
    <t xml:space="preserve">Economic Profile: Kuwait has a high GDP per capita, largely due to its oil wealth. The economy is less diversified compared to UAE or Qatar.</t>
  </si>
  <si>
    <t xml:space="preserve">Beginning of warm season; start of domestic tourism</t>
  </si>
  <si>
    <t xml:space="preserve">Market Size: Kuwait has a smaller population compared to Saudi Arabia, which may limit market size. However, it has a substantial middle and upper-class population.</t>
  </si>
  <si>
    <t xml:space="preserve">Hot weather; some decline in day-time tourism</t>
  </si>
  <si>
    <t xml:space="preserve">Consumer Behavior: Kuwaitis enjoy a relatively high standard of living. There is a significant presence of Western-style consumerism.</t>
  </si>
  <si>
    <t xml:space="preserve">Peak of summer; holiday season for locals and Europeans</t>
  </si>
  <si>
    <t xml:space="preserve">Estimated % for Kuwait: 110-115%</t>
  </si>
  <si>
    <t xml:space="preserve">End of hot season; revival of tourism</t>
  </si>
  <si>
    <t xml:space="preserve">Rationale: High GDP per capita and a strong consumer culture are positives, but the smaller population size limits total market potential.</t>
  </si>
  <si>
    <t xml:space="preserve">Pleasant autumn weather; high tourist activity</t>
  </si>
  <si>
    <t xml:space="preserve">Cooler weather; moderate tourist activity</t>
  </si>
  <si>
    <t xml:space="preserve">Holiday season; increase in end-of-year tourism and spending</t>
  </si>
  <si>
    <t xml:space="preserve">Economic Profile: Turkey has a larger population and a diverse economy. However, the GDP per capita is lower than the Gulf countries.</t>
  </si>
  <si>
    <t xml:space="preserve">Market Size: Large population with significant urban centers like Istanbul and Ankara.</t>
  </si>
  <si>
    <t xml:space="preserve">Consumer Behavior: Turkish people have a rich café culture. The country also attracts many tourists, especially in cities like Istanbul.</t>
  </si>
  <si>
    <t xml:space="preserve">Estimated % for Turkey: 105-110%</t>
  </si>
  <si>
    <t xml:space="preserve">Rationale: The large population and established café culture are positives, but lower GDP per capita might mean lower average spending per customer.</t>
  </si>
  <si>
    <t xml:space="preserve">Economic Profile: Morocco has a growing economy but lower GDP per capita compared to Gulf countries. Tourism is a significant sector.</t>
  </si>
  <si>
    <t xml:space="preserve">Market Size: A large population, but overall spending power is lower.</t>
  </si>
  <si>
    <t xml:space="preserve">Consumer Behavior: There is a traditional café culture, and the country sees a good number of tourists, especially in cities like Marrakech and Casablanca.</t>
  </si>
  <si>
    <t xml:space="preserve">Estimated % for Morocco: 90-95%</t>
  </si>
  <si>
    <t xml:space="preserve">Rationale: Strong café culture and tourism are positive, but lower GDP per capita and overall economic development could limit spending.</t>
  </si>
  <si>
    <t xml:space="preserve">Economic Profile: Egypt has a diversified economy with sectors such as agriculture, tourism, and services. The GDP per capita is modest compared to Gulf countries.</t>
  </si>
  <si>
    <t xml:space="preserve">Market Size: A large population that can provide a substantial consumer base but with a generally lower spending capability.</t>
  </si>
  <si>
    <t xml:space="preserve">Consumer Behavior: Egypt has a strong traditional café culture with a growing segment interested in luxury establishments, especially in urban areas and among tourists.</t>
  </si>
  <si>
    <t xml:space="preserve">Estimated % for Egypt: 85-90% for a luxury coffee and brunch shop. </t>
  </si>
  <si>
    <t xml:space="preserve">Rationale: The large population and significant tourism sector support the market, but the lower GDP per capita means the luxury segment is a smaller niche compared to the Gulf baseline.</t>
  </si>
  <si>
    <t xml:space="preserve">Draft Financial Set</t>
  </si>
  <si>
    <t xml:space="preserve">36-Month Forecast Model</t>
  </si>
  <si>
    <t xml:space="preserve">Assumptions</t>
  </si>
  <si>
    <t xml:space="preserve">Open Shops</t>
  </si>
  <si>
    <t xml:space="preserve">N* of  Saudi Arabia Shops</t>
  </si>
  <si>
    <t xml:space="preserve">N* of  UAE</t>
  </si>
  <si>
    <t xml:space="preserve">N* of  Qatar Shops</t>
  </si>
  <si>
    <t xml:space="preserve">N* of  Kuwait Shops</t>
  </si>
  <si>
    <t xml:space="preserve">N* of  Turkey</t>
  </si>
  <si>
    <t xml:space="preserve">N* of  Morocco Shops</t>
  </si>
  <si>
    <t xml:space="preserve">N* of  Egypt Shops</t>
  </si>
  <si>
    <t xml:space="preserve">Deferred Revenue from Saudi Arabia Openings</t>
  </si>
  <si>
    <t xml:space="preserve">Deferred Revenue from UAE Openings</t>
  </si>
  <si>
    <t xml:space="preserve">Deferred Revenue from Qatar Openings</t>
  </si>
  <si>
    <t xml:space="preserve">Deferred Revenue from Kuwait Openings</t>
  </si>
  <si>
    <t xml:space="preserve">Deferred Revenue from Turkey</t>
  </si>
  <si>
    <t xml:space="preserve">Deferred Revenue from Morocco Openings</t>
  </si>
  <si>
    <t xml:space="preserve">Deferred Revenue from Egypt Openings</t>
  </si>
  <si>
    <t xml:space="preserve">Total</t>
  </si>
  <si>
    <t xml:space="preserve">Revenue from Saudi Arabia Shops</t>
  </si>
  <si>
    <t xml:space="preserve">Revenue from UAE Shops</t>
  </si>
  <si>
    <t xml:space="preserve">Revenue from Qatar Shops</t>
  </si>
  <si>
    <t xml:space="preserve">Revenue from Kuwait Shops</t>
  </si>
  <si>
    <t xml:space="preserve">Revenue from Turkey</t>
  </si>
  <si>
    <t xml:space="preserve">Revenue from Morocco Shops</t>
  </si>
  <si>
    <t xml:space="preserve">Revenue from Egypt Shops</t>
  </si>
  <si>
    <t xml:space="preserve">COGS</t>
  </si>
  <si>
    <t xml:space="preserve">Expenses related to training new franchisees, including materials, staff time, and any related travel or accommodation costs.</t>
  </si>
  <si>
    <t xml:space="preserve">Training Costs</t>
  </si>
  <si>
    <t xml:space="preserve">Ongoing support provided to franchisees, such as consulting, operational assistance, technology support, etc.</t>
  </si>
  <si>
    <t xml:space="preserve"> 2 per year x shop</t>
  </si>
  <si>
    <t xml:space="preserve">Support Costs including visits</t>
  </si>
  <si>
    <t xml:space="preserve">Expenses incurred in the process of acquiring new franchisees, like advertising, brokerage fees, and participation in franchise expos.</t>
  </si>
  <si>
    <t xml:space="preserve">Franchisee Recruitment Costs</t>
  </si>
  <si>
    <t xml:space="preserve">Expenses related to ensuring that the franchise operations adhere to relevant laws and regulations. This might include costs for legal advice, compliance audits, and documentation.</t>
  </si>
  <si>
    <t xml:space="preserve">Per year + 2k per new shop</t>
  </si>
  <si>
    <t xml:space="preserve">Legal &amp; compliance</t>
  </si>
  <si>
    <t xml:space="preserve">Costs for producing marketing and promotional materials supplied to franchisees.</t>
  </si>
  <si>
    <t xml:space="preserve">$20000 + 2k per open shop </t>
  </si>
  <si>
    <t xml:space="preserve">Yearly budget</t>
  </si>
  <si>
    <t xml:space="preserve">Sales &amp; Marketing including advertising</t>
  </si>
  <si>
    <t xml:space="preserve">Any costs associated with helping a new franchisee set up their business</t>
  </si>
  <si>
    <t xml:space="preserve">Initial Setup Support</t>
  </si>
  <si>
    <t xml:space="preserve">Expenses for maintaining or developing franchise management systems, software, and other technological tools provided to the franchisees.</t>
  </si>
  <si>
    <t xml:space="preserve">Technology and Software Costs</t>
  </si>
  <si>
    <t xml:space="preserve">Operating Expenses</t>
  </si>
  <si>
    <t xml:space="preserve">$ 5000 +  1k per open shop</t>
  </si>
  <si>
    <t xml:space="preserve">Monthly</t>
  </si>
  <si>
    <t xml:space="preserve">Director Payroll</t>
  </si>
  <si>
    <t xml:space="preserve">2500+ 500$ per open shop</t>
  </si>
  <si>
    <t xml:space="preserve">Finance Cost</t>
  </si>
  <si>
    <t xml:space="preserve">Accounting Payroll</t>
  </si>
  <si>
    <t xml:space="preserve">Operations Payroll - (1 x 10 shop)</t>
  </si>
  <si>
    <t xml:space="preserve">Marketing &amp; PR staff Payroll - (1 x 10 shop)</t>
  </si>
  <si>
    <t xml:space="preserve">Over total revenue</t>
  </si>
  <si>
    <t xml:space="preserve">Insurance</t>
  </si>
  <si>
    <t xml:space="preserve">Per year</t>
  </si>
  <si>
    <t xml:space="preserve">Office Supplies</t>
  </si>
  <si>
    <t xml:space="preserve">Cash Balance After</t>
  </si>
  <si>
    <t xml:space="preserve">TOTAL FIXED ASSETS</t>
  </si>
  <si>
    <t xml:space="preserve">TOTAL CURRENT ASSETS</t>
  </si>
  <si>
    <t xml:space="preserve">Share capital Type A (owner's share capital)</t>
  </si>
  <si>
    <t xml:space="preserve">Assumptions &amp; disclaimers:</t>
  </si>
  <si>
    <t xml:space="preserve">Ver.</t>
  </si>
  <si>
    <t xml:space="preserve">Period</t>
  </si>
  <si>
    <t xml:space="preserve">Year</t>
  </si>
  <si>
    <t xml:space="preserve">Season</t>
  </si>
  <si>
    <t xml:space="preserve">%</t>
  </si>
  <si>
    <t xml:space="preserve">USD Sales</t>
  </si>
  <si>
    <t xml:space="preserve">Royalty</t>
  </si>
  <si>
    <t xml:space="preserve">To 10K</t>
  </si>
  <si>
    <t xml:space="preserve">Total Royalty</t>
  </si>
  <si>
    <t xml:space="preserve">Actual</t>
  </si>
  <si>
    <t xml:space="preserve">Forecast</t>
  </si>
  <si>
    <t xml:space="preserve">Category</t>
  </si>
  <si>
    <t xml:space="preserve">Cost</t>
  </si>
  <si>
    <t xml:space="preserve">Frequency</t>
  </si>
  <si>
    <t xml:space="preserve">Scaling Factor</t>
  </si>
  <si>
    <t xml:space="preserve">Comments for improvments</t>
  </si>
  <si>
    <t xml:space="preserve">Existing Costs</t>
  </si>
  <si>
    <t xml:space="preserve">Support Costs</t>
  </si>
  <si>
    <t xml:space="preserve">2 per year x shop</t>
  </si>
  <si>
    <t xml:space="preserve">Per shop</t>
  </si>
  <si>
    <t xml:space="preserve">Consider scaling based on shop size/revenue</t>
  </si>
  <si>
    <t xml:space="preserve">Legal &amp; Compliance</t>
  </si>
  <si>
    <t xml:space="preserve">$10,000 + $2,000 per new shop</t>
  </si>
  <si>
    <t xml:space="preserve">Yearly</t>
  </si>
  <si>
    <t xml:space="preserve">Increases with new shops</t>
  </si>
  <si>
    <t xml:space="preserve">May vary based on location and regulations</t>
  </si>
  <si>
    <t xml:space="preserve">Sales &amp; Marketing</t>
  </si>
  <si>
    <t xml:space="preserve">$20,000 + $2,000 per open shop</t>
  </si>
  <si>
    <t xml:space="preserve">Increases with open shops</t>
  </si>
  <si>
    <t xml:space="preserve">Te review depending on Marketing plan for the IP company</t>
  </si>
  <si>
    <t xml:space="preserve">$5,000 + $1,000 per open shop</t>
  </si>
  <si>
    <t xml:space="preserve">To review</t>
  </si>
  <si>
    <t xml:space="preserve">$2,500 + $500 per open shop</t>
  </si>
  <si>
    <t xml:space="preserve">Fixed</t>
  </si>
  <si>
    <t xml:space="preserve">To review depending on Operational needs</t>
  </si>
  <si>
    <t xml:space="preserve">Operations Payroll</t>
  </si>
  <si>
    <t xml:space="preserve">1 per 10 shops</t>
  </si>
  <si>
    <t xml:space="preserve">Marketing &amp; PR Payroll</t>
  </si>
  <si>
    <t xml:space="preserve">2% of total revenue</t>
  </si>
  <si>
    <t xml:space="preserve">Proportional to revenue</t>
  </si>
  <si>
    <t xml:space="preserve">Can vary based on coverage and risk factors</t>
  </si>
  <si>
    <t xml:space="preserve">May increase with business size</t>
  </si>
  <si>
    <t xml:space="preserve">-</t>
  </si>
  <si>
    <t xml:space="preserve">Additional Costs to Consider</t>
  </si>
  <si>
    <t xml:space="preserve">Royalty Fees to MUSE</t>
  </si>
  <si>
    <t xml:space="preserve">% of revenue</t>
  </si>
  <si>
    <t xml:space="preserve">Ongoing</t>
  </si>
  <si>
    <t xml:space="preserve">To review separetely with current Agreement</t>
  </si>
  <si>
    <t xml:space="preserve">Franchise Agreement Renewal</t>
  </si>
  <si>
    <t xml:space="preserve">Per renewal period</t>
  </si>
  <si>
    <t xml:space="preserve">Per new franchise</t>
  </si>
  <si>
    <t xml:space="preserve">Fixed per franchise</t>
  </si>
  <si>
    <t xml:space="preserve">Helping new franchisees set up</t>
  </si>
  <si>
    <t xml:space="preserve">Training </t>
  </si>
  <si>
    <t xml:space="preserve">Variable</t>
  </si>
  <si>
    <t xml:space="preserve">Periodically &amp; per franchise</t>
  </si>
  <si>
    <t xml:space="preserve">Increases with franchise count</t>
  </si>
  <si>
    <t xml:space="preserve">perdiocally training &amp; review</t>
  </si>
  <si>
    <t xml:space="preserve">Quality Control</t>
  </si>
  <si>
    <t xml:space="preserve">For regular inspections and audits</t>
  </si>
  <si>
    <t xml:space="preserve">Corporate Events</t>
  </si>
  <si>
    <t xml:space="preserve">Increases with franchisee count</t>
  </si>
  <si>
    <t xml:space="preserve">Annual conferences or meetings</t>
  </si>
  <si>
    <t xml:space="preserve">Public Relations</t>
  </si>
  <si>
    <t xml:space="preserve">May increase with brand exposure</t>
  </si>
  <si>
    <t xml:space="preserve">Important for high-profile brand management</t>
  </si>
  <si>
    <t xml:space="preserve">Legal Reserves</t>
  </si>
  <si>
    <t xml:space="preserve">% of revenue or fixed amount</t>
  </si>
  <si>
    <t xml:space="preserve">For potential legal disputes</t>
  </si>
  <si>
    <t xml:space="preserve">Real Estate Services</t>
  </si>
  <si>
    <t xml:space="preserve">Per new location</t>
  </si>
  <si>
    <t xml:space="preserve">If assisting with location selection</t>
  </si>
  <si>
    <t xml:space="preserve">Supply Chain Management</t>
  </si>
  <si>
    <t xml:space="preserve">For managing suppliers and quality</t>
  </si>
  <si>
    <t xml:space="preserve">Franchisee Recruitment</t>
  </si>
  <si>
    <t xml:space="preserve">May decrease with brand recognition</t>
  </si>
  <si>
    <t xml:space="preserve">Advertising, brokerage fees, expos</t>
  </si>
  <si>
    <t xml:space="preserve">Technology and Software</t>
  </si>
  <si>
    <t xml:space="preserve">For franchise management systems</t>
  </si>
</sst>
</file>

<file path=xl/styles.xml><?xml version="1.0" encoding="utf-8"?>
<styleSheet xmlns="http://schemas.openxmlformats.org/spreadsheetml/2006/main">
  <numFmts count="19">
    <numFmt numFmtId="164" formatCode="General"/>
    <numFmt numFmtId="165" formatCode="0"/>
    <numFmt numFmtId="166" formatCode="[$-409]mmm\-yy;@"/>
    <numFmt numFmtId="167" formatCode="_-\£* #,##0.00_-;&quot;-£&quot;* #,##0.00_-;_-\£* \-??_-;_-@_-"/>
    <numFmt numFmtId="168" formatCode="_(\$* #,##0_);_(\$* \(#,##0\);_(\$* \-??_);_(@_)"/>
    <numFmt numFmtId="169" formatCode="_(#,##0_);_(\(#,##0\);_(\-??_);_(@_)"/>
    <numFmt numFmtId="170" formatCode="&quot;$ &quot;#,##0;[RED]&quot;$ (&quot;#,##0\);&quot; $ - &quot;"/>
    <numFmt numFmtId="171" formatCode="0%"/>
    <numFmt numFmtId="172" formatCode="0.00%"/>
    <numFmt numFmtId="173" formatCode="_-* #,##0.00_-;\-* #,##0.00_-;_-* \-??_-;_-@_-"/>
    <numFmt numFmtId="174" formatCode="mmm\-yy"/>
    <numFmt numFmtId="175" formatCode="0.00"/>
    <numFmt numFmtId="176" formatCode="0.0%"/>
    <numFmt numFmtId="177" formatCode="#,##0"/>
    <numFmt numFmtId="178" formatCode="_-[$$-409]* #,##0_ ;_-[$$-409]* \-#,##0\ ;_-[$$-409]* \-??_ ;_-@_ "/>
    <numFmt numFmtId="179" formatCode="_(* #,##0_);_(* \(#,##0\);_(* \-??_);_(@_)"/>
    <numFmt numFmtId="180" formatCode="yyyy\-mm\-dd;@"/>
    <numFmt numFmtId="181" formatCode="_-* #,##0.00000_-;\-* #,##0.00000_-;_-* \-??_-;_-@_-"/>
    <numFmt numFmtId="182" formatCode="\$#,##0_);[RED]&quot;($&quot;#,##0\)"/>
  </numFmts>
  <fonts count="3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Goudy Old Style"/>
      <family val="1"/>
      <charset val="1"/>
    </font>
    <font>
      <b val="true"/>
      <sz val="11"/>
      <color theme="1"/>
      <name val="Goudy Old Style"/>
      <family val="1"/>
      <charset val="1"/>
    </font>
    <font>
      <u val="single"/>
      <sz val="11"/>
      <color theme="1"/>
      <name val="Goudy Old Style"/>
      <family val="1"/>
      <charset val="1"/>
    </font>
    <font>
      <b val="true"/>
      <i val="true"/>
      <sz val="11"/>
      <color theme="0"/>
      <name val="Goudy Old Style"/>
      <family val="1"/>
      <charset val="1"/>
    </font>
    <font>
      <b val="true"/>
      <sz val="11"/>
      <color rgb="FF000000"/>
      <name val="Goudy Old Style"/>
      <family val="1"/>
      <charset val="1"/>
    </font>
    <font>
      <b val="true"/>
      <i val="true"/>
      <sz val="9"/>
      <color rgb="FF000000"/>
      <name val="Goudy Old Style"/>
      <family val="1"/>
      <charset val="1"/>
    </font>
    <font>
      <sz val="10"/>
      <color theme="1"/>
      <name val="Goudy Old Style"/>
      <family val="1"/>
      <charset val="1"/>
    </font>
    <font>
      <b val="true"/>
      <sz val="10"/>
      <color theme="1"/>
      <name val="Goudy Old Style"/>
      <family val="1"/>
      <charset val="1"/>
    </font>
    <font>
      <sz val="10"/>
      <color rgb="FF374151"/>
      <name val="Goudy Old Style"/>
      <family val="1"/>
      <charset val="1"/>
    </font>
    <font>
      <sz val="10"/>
      <name val="Goudy Old Style"/>
      <family val="1"/>
      <charset val="1"/>
    </font>
    <font>
      <sz val="10"/>
      <color theme="1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1"/>
      <color theme="1"/>
      <name val="Times New Roman"/>
      <family val="1"/>
      <charset val="1"/>
    </font>
    <font>
      <b val="true"/>
      <sz val="16"/>
      <color theme="1"/>
      <name val="Times New Roman"/>
      <family val="1"/>
      <charset val="1"/>
    </font>
    <font>
      <b val="true"/>
      <sz val="11"/>
      <name val="Times New Roman"/>
      <family val="1"/>
      <charset val="1"/>
    </font>
    <font>
      <sz val="11"/>
      <color rgb="FF0000FF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color rgb="FF0000FF"/>
      <name val="Times New Roman"/>
      <family val="1"/>
      <charset val="1"/>
    </font>
    <font>
      <i val="true"/>
      <sz val="11"/>
      <color theme="0"/>
      <name val="Times New Roman"/>
      <family val="1"/>
      <charset val="1"/>
    </font>
    <font>
      <b val="true"/>
      <i val="true"/>
      <sz val="11"/>
      <color theme="0"/>
      <name val="Times New Roman"/>
      <family val="1"/>
      <charset val="1"/>
    </font>
    <font>
      <b val="true"/>
      <i val="true"/>
      <sz val="11"/>
      <name val="Times New Roman"/>
      <family val="1"/>
      <charset val="1"/>
    </font>
    <font>
      <i val="true"/>
      <sz val="11"/>
      <name val="Times New Roman"/>
      <family val="1"/>
      <charset val="1"/>
    </font>
    <font>
      <i val="true"/>
      <sz val="8"/>
      <name val="Times New Roman"/>
      <family val="1"/>
      <charset val="1"/>
    </font>
    <font>
      <sz val="11"/>
      <color theme="0"/>
      <name val="Times New Roman"/>
      <family val="1"/>
      <charset val="1"/>
    </font>
    <font>
      <b val="true"/>
      <sz val="11"/>
      <color theme="0"/>
      <name val="Times New Roman"/>
      <family val="1"/>
      <charset val="1"/>
    </font>
    <font>
      <b val="true"/>
      <sz val="11"/>
      <color theme="1"/>
      <name val="Times New Roman"/>
      <family val="1"/>
      <charset val="1"/>
    </font>
    <font>
      <sz val="11"/>
      <name val="Times New Roman"/>
      <family val="1"/>
      <charset val="1"/>
    </font>
    <font>
      <i val="true"/>
      <sz val="11"/>
      <color theme="1"/>
      <name val="Times New Roman"/>
      <family val="1"/>
      <charset val="1"/>
    </font>
    <font>
      <sz val="8"/>
      <color theme="1"/>
      <name val="Goudy Old Style"/>
      <family val="1"/>
      <charset val="1"/>
    </font>
    <font>
      <b val="true"/>
      <sz val="12"/>
      <color theme="1"/>
      <name val="Goudy Old Style"/>
      <family val="1"/>
      <charset val="1"/>
    </font>
    <font>
      <b val="true"/>
      <sz val="9"/>
      <color theme="1"/>
      <name val="Goudy Old Style"/>
      <family val="1"/>
      <charset val="1"/>
    </font>
    <font>
      <sz val="9"/>
      <color theme="1"/>
      <name val="Goudy Old Style"/>
      <family val="1"/>
      <charset val="1"/>
    </font>
    <font>
      <b val="true"/>
      <sz val="11"/>
      <color theme="1"/>
      <name val="Aptos"/>
      <family val="2"/>
      <charset val="1"/>
    </font>
    <font>
      <sz val="9"/>
      <color theme="1"/>
      <name val="Aptos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2854AC"/>
        <bgColor rgb="FF0066CC"/>
      </patternFill>
    </fill>
    <fill>
      <patternFill patternType="solid">
        <fgColor theme="4" tint="0.7999"/>
        <bgColor rgb="FFD0DCF4"/>
      </patternFill>
    </fill>
    <fill>
      <patternFill patternType="solid">
        <fgColor theme="6" tint="0.5999"/>
        <bgColor rgb="FFDCE6F2"/>
      </patternFill>
    </fill>
    <fill>
      <patternFill patternType="solid">
        <fgColor rgb="FFD0DCF4"/>
        <bgColor rgb="FFC6D9F1"/>
      </patternFill>
    </fill>
    <fill>
      <patternFill patternType="solid">
        <fgColor theme="3" tint="0.7999"/>
        <bgColor rgb="FFD0DCF4"/>
      </patternFill>
    </fill>
    <fill>
      <patternFill patternType="solid">
        <fgColor theme="0" tint="-0.05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3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2" fontId="1" fillId="0" borderId="0" applyFont="true" applyBorder="false" applyAlignment="false" applyProtection="false"/>
    <xf numFmtId="171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5" xfId="1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6" xfId="1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8" xfId="1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9" xfId="1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4" fillId="0" borderId="5" xfId="17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0" borderId="5" xfId="1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8" xfId="1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4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4" fillId="3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4" fillId="0" borderId="0" xfId="17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4" fillId="0" borderId="11" xfId="17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4" fillId="0" borderId="0" xfId="19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4" fillId="0" borderId="11" xfId="19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0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2" xfId="1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5" fillId="0" borderId="10" xfId="1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5" fillId="0" borderId="10" xfId="1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76" fontId="10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6" fontId="13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10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7" fontId="1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0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10" fillId="0" borderId="5" xfId="1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8" fontId="10" fillId="4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8" fontId="10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5" fontId="15" fillId="0" borderId="0" xfId="15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5" fontId="19" fillId="0" borderId="0" xfId="15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4" fontId="2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5" fontId="21" fillId="0" borderId="0" xfId="15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9" fontId="23" fillId="2" borderId="0" xfId="15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24" fillId="2" borderId="0" xfId="1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5" fontId="26" fillId="0" borderId="0" xfId="15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0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fill" vertical="top" textRotation="0" wrapText="false" indent="0" shrinkToFit="false"/>
      <protection locked="true" hidden="false"/>
    </xf>
    <xf numFmtId="170" fontId="26" fillId="0" borderId="0" xfId="17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fill" vertical="center" textRotation="0" wrapText="false" indent="0" shrinkToFit="false"/>
      <protection locked="true" hidden="false"/>
    </xf>
    <xf numFmtId="170" fontId="26" fillId="0" borderId="0" xfId="17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26" fillId="0" borderId="0" xfId="17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1" fontId="26" fillId="0" borderId="0" xfId="19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9" fontId="26" fillId="0" borderId="0" xfId="15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9" fontId="16" fillId="0" borderId="0" xfId="1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28" fillId="2" borderId="0" xfId="1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9" fillId="2" borderId="0" xfId="1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20" fillId="0" borderId="0" xfId="15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5" fontId="30" fillId="0" borderId="0" xfId="1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6" fillId="0" borderId="0" xfId="1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0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6" fillId="0" borderId="0" xfId="19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1" fontId="16" fillId="0" borderId="0" xfId="1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6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36" fillId="0" borderId="5" xfId="1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36" fillId="0" borderId="5" xfId="1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6" fillId="7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36" fillId="7" borderId="5" xfId="1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36" fillId="7" borderId="5" xfId="1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6" fillId="7" borderId="6" xfId="1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7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6" fillId="4" borderId="5" xfId="1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7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6" fillId="7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36" fillId="7" borderId="8" xfId="19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36" fillId="7" borderId="8" xfId="1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6" fillId="7" borderId="9" xfId="1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8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38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D7E4B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CE6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0DCF4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854AC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Openings_Table" displayName="Openings_Table" ref="B6:L16" headerRowCount="1" totalsRowCount="0" totalsRowShown="0">
  <autoFilter ref="B6:L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Store"/>
    <tableColumn id="2" name="Country"/>
    <tableColumn id="3" name="City/Location"/>
    <tableColumn id="4" name="Opening Date"/>
    <tableColumn id="5" name="Licensing time"/>
    <tableColumn id="6" name="Initial One-Time Fee"/>
    <tableColumn id="7" name="Total Royalties"/>
    <tableColumn id="8" name="2023"/>
    <tableColumn id="9" name="2024"/>
    <tableColumn id="10" name="2025"/>
    <tableColumn id="11" name="2026"/>
  </tableColumns>
</table>
</file>

<file path=xl/tables/table2.xml><?xml version="1.0" encoding="utf-8"?>
<table xmlns="http://schemas.openxmlformats.org/spreadsheetml/2006/main" id="2" name="Sales_Egypt" displayName="Sales_Egypt" ref="BI3:BQ47" headerRowCount="1" totalsRowCount="0" totalsRowShown="0">
  <autoFilter ref="BI3:BQ47"/>
  <tableColumns count="9">
    <tableColumn id="1" name="Ver."/>
    <tableColumn id="2" name="Period"/>
    <tableColumn id="3" name="Year"/>
    <tableColumn id="4" name="Season"/>
    <tableColumn id="5" name="%"/>
    <tableColumn id="6" name="USD Sales"/>
    <tableColumn id="7" name="Royalty"/>
    <tableColumn id="8" name="To 10K"/>
    <tableColumn id="9" name="Total Royalty"/>
  </tableColumns>
</table>
</file>

<file path=xl/tables/table3.xml><?xml version="1.0" encoding="utf-8"?>
<table xmlns="http://schemas.openxmlformats.org/spreadsheetml/2006/main" id="3" name="Sales_Kuwait" displayName="Sales_Kuwait" ref="AE3:AM47" headerRowCount="1" totalsRowCount="0" totalsRowShown="0">
  <autoFilter ref="AE3:AM47"/>
  <tableColumns count="9">
    <tableColumn id="1" name="Ver."/>
    <tableColumn id="2" name="Period"/>
    <tableColumn id="3" name="Year"/>
    <tableColumn id="4" name="Season"/>
    <tableColumn id="5" name="%"/>
    <tableColumn id="6" name="USD Sales"/>
    <tableColumn id="7" name="Royalty"/>
    <tableColumn id="8" name="To 10K"/>
    <tableColumn id="9" name="Total Royalty"/>
  </tableColumns>
</table>
</file>

<file path=xl/tables/table4.xml><?xml version="1.0" encoding="utf-8"?>
<table xmlns="http://schemas.openxmlformats.org/spreadsheetml/2006/main" id="4" name="Sales_Morocco" displayName="Sales_Morocco" ref="AY3:BG47" headerRowCount="1" totalsRowCount="0" totalsRowShown="0">
  <autoFilter ref="AY3:BG47"/>
  <tableColumns count="9">
    <tableColumn id="1" name="Ver."/>
    <tableColumn id="2" name="Period"/>
    <tableColumn id="3" name="Year"/>
    <tableColumn id="4" name="Season"/>
    <tableColumn id="5" name="%"/>
    <tableColumn id="6" name="USD Sales"/>
    <tableColumn id="7" name="Royalty"/>
    <tableColumn id="8" name="To 10K"/>
    <tableColumn id="9" name="Total Royalty"/>
  </tableColumns>
</table>
</file>

<file path=xl/tables/table5.xml><?xml version="1.0" encoding="utf-8"?>
<table xmlns="http://schemas.openxmlformats.org/spreadsheetml/2006/main" id="5" name="Sales_Qatar" displayName="Sales_Qatar" ref="K3:S47" headerRowCount="1" totalsRowCount="0" totalsRowShown="0">
  <autoFilter ref="K3:S47"/>
  <tableColumns count="9">
    <tableColumn id="1" name="Ver."/>
    <tableColumn id="2" name="Period"/>
    <tableColumn id="3" name="Year"/>
    <tableColumn id="4" name="Season"/>
    <tableColumn id="5" name="%"/>
    <tableColumn id="6" name="USD Sales"/>
    <tableColumn id="7" name="Royalty"/>
    <tableColumn id="8" name="To 10K"/>
    <tableColumn id="9" name="Total Royalty"/>
  </tableColumns>
</table>
</file>

<file path=xl/tables/table6.xml><?xml version="1.0" encoding="utf-8"?>
<table xmlns="http://schemas.openxmlformats.org/spreadsheetml/2006/main" id="6" name="Sales_Saudi_Arabia" displayName="Sales_Saudi_Arabia" ref="A3:I47" headerRowCount="1" totalsRowCount="0" totalsRowShown="0">
  <autoFilter ref="A3:I47"/>
  <tableColumns count="9">
    <tableColumn id="1" name="Ver."/>
    <tableColumn id="2" name="Period"/>
    <tableColumn id="3" name="Year"/>
    <tableColumn id="4" name="Season"/>
    <tableColumn id="5" name="%"/>
    <tableColumn id="6" name="USD Sales"/>
    <tableColumn id="7" name="Royalty"/>
    <tableColumn id="8" name="To 10K"/>
    <tableColumn id="9" name="Total Royalty"/>
  </tableColumns>
</table>
</file>

<file path=xl/tables/table7.xml><?xml version="1.0" encoding="utf-8"?>
<table xmlns="http://schemas.openxmlformats.org/spreadsheetml/2006/main" id="7" name="Sales_Turkey" displayName="Sales_Turkey" ref="AO3:AW47" headerRowCount="1" totalsRowCount="0" totalsRowShown="0">
  <autoFilter ref="AO3:AW47"/>
  <tableColumns count="9">
    <tableColumn id="1" name="Ver."/>
    <tableColumn id="2" name="Period"/>
    <tableColumn id="3" name="Year"/>
    <tableColumn id="4" name="Season"/>
    <tableColumn id="5" name="%"/>
    <tableColumn id="6" name="USD Sales"/>
    <tableColumn id="7" name="Royalty"/>
    <tableColumn id="8" name="To 10K"/>
    <tableColumn id="9" name="Total Royalty"/>
  </tableColumns>
</table>
</file>

<file path=xl/tables/table8.xml><?xml version="1.0" encoding="utf-8"?>
<table xmlns="http://schemas.openxmlformats.org/spreadsheetml/2006/main" id="8" name="Sales_UAE" displayName="Sales_UAE" ref="U3:AC47" headerRowCount="1" totalsRowCount="0" totalsRowShown="0">
  <autoFilter ref="U3:AC47"/>
  <tableColumns count="9">
    <tableColumn id="1" name="Ver."/>
    <tableColumn id="2" name="Period"/>
    <tableColumn id="3" name="Year"/>
    <tableColumn id="4" name="Season"/>
    <tableColumn id="5" name="%"/>
    <tableColumn id="6" name="USD Sales"/>
    <tableColumn id="7" name="Royalty"/>
    <tableColumn id="8" name="To 10K"/>
    <tableColumn id="9" name="Total Royalty"/>
  </tableColumns>
</table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3.xml"/><Relationship Id="rId3" Type="http://schemas.openxmlformats.org/officeDocument/2006/relationships/table" Target="../tables/table4.xml"/><Relationship Id="rId4" Type="http://schemas.openxmlformats.org/officeDocument/2006/relationships/table" Target="../tables/table5.xml"/><Relationship Id="rId5" Type="http://schemas.openxmlformats.org/officeDocument/2006/relationships/table" Target="../tables/table6.xml"/><Relationship Id="rId6" Type="http://schemas.openxmlformats.org/officeDocument/2006/relationships/table" Target="../tables/table7.xml"/><Relationship Id="rId7" Type="http://schemas.openxmlformats.org/officeDocument/2006/relationships/table" Target="../tables/table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27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D22" activeCellId="0" sqref="D22"/>
    </sheetView>
  </sheetViews>
  <sheetFormatPr defaultColWidth="8.796875" defaultRowHeight="15" zeroHeight="false" outlineLevelRow="0" outlineLevelCol="0"/>
  <cols>
    <col collapsed="false" customWidth="false" hidden="false" outlineLevel="0" max="1" min="1" style="1" width="8.8"/>
    <col collapsed="false" customWidth="true" hidden="false" outlineLevel="0" max="2" min="2" style="1" width="17.79"/>
    <col collapsed="false" customWidth="true" hidden="false" outlineLevel="0" max="3" min="3" style="1" width="15.39"/>
    <col collapsed="false" customWidth="true" hidden="false" outlineLevel="0" max="4" min="4" style="1" width="21.79"/>
    <col collapsed="false" customWidth="true" hidden="false" outlineLevel="0" max="5" min="5" style="1" width="12.47"/>
    <col collapsed="false" customWidth="true" hidden="false" outlineLevel="0" max="6" min="6" style="1" width="26.4"/>
    <col collapsed="false" customWidth="true" hidden="false" outlineLevel="0" max="7" min="7" style="1" width="21.47"/>
    <col collapsed="false" customWidth="true" hidden="false" outlineLevel="0" max="8" min="8" style="1" width="13.26"/>
    <col collapsed="false" customWidth="true" hidden="false" outlineLevel="0" max="9" min="9" style="1" width="10.4"/>
    <col collapsed="false" customWidth="true" hidden="false" outlineLevel="0" max="10" min="10" style="1" width="15.39"/>
    <col collapsed="false" customWidth="true" hidden="false" outlineLevel="0" max="11" min="11" style="1" width="21.26"/>
    <col collapsed="false" customWidth="true" hidden="false" outlineLevel="0" max="12" min="12" style="1" width="11.67"/>
    <col collapsed="false" customWidth="true" hidden="false" outlineLevel="0" max="13" min="13" style="1" width="9.47"/>
    <col collapsed="false" customWidth="false" hidden="false" outlineLevel="0" max="15" min="14" style="1" width="8.8"/>
    <col collapsed="false" customWidth="true" hidden="false" outlineLevel="0" max="16" min="16" style="1" width="10.79"/>
    <col collapsed="false" customWidth="true" hidden="false" outlineLevel="0" max="17" min="17" style="1" width="12.87"/>
    <col collapsed="false" customWidth="false" hidden="false" outlineLevel="0" max="16384" min="18" style="1" width="8.8"/>
  </cols>
  <sheetData>
    <row r="2" customFormat="false" ht="15" hidden="false" customHeight="false" outlineLevel="0" collapsed="false">
      <c r="B2" s="2" t="s">
        <v>0</v>
      </c>
      <c r="C2" s="2"/>
      <c r="D2" s="2"/>
      <c r="E2" s="2"/>
      <c r="F2" s="2" t="s">
        <v>1</v>
      </c>
      <c r="G2" s="2"/>
      <c r="H2" s="2"/>
    </row>
    <row r="3" customFormat="false" ht="15" hidden="false" customHeight="false" outlineLevel="0" collapsed="false">
      <c r="B3" s="2" t="s">
        <v>2</v>
      </c>
      <c r="C3" s="2"/>
      <c r="D3" s="2"/>
      <c r="E3" s="2"/>
      <c r="F3" s="2" t="s">
        <v>3</v>
      </c>
      <c r="G3" s="2"/>
      <c r="H3" s="2"/>
    </row>
    <row r="4" customFormat="false" ht="15" hidden="false" customHeight="false" outlineLevel="0" collapsed="false">
      <c r="B4" s="2" t="s">
        <v>4</v>
      </c>
      <c r="C4" s="2"/>
      <c r="D4" s="2"/>
      <c r="E4" s="2"/>
      <c r="F4" s="2" t="s">
        <v>5</v>
      </c>
      <c r="G4" s="2"/>
      <c r="H4" s="2"/>
    </row>
    <row r="6" customFormat="false" ht="15" hidden="false" customHeight="false" outlineLevel="0" collapsed="false">
      <c r="B6" s="3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5" t="s">
        <v>16</v>
      </c>
      <c r="M6" s="6" t="s">
        <v>17</v>
      </c>
    </row>
    <row r="7" customFormat="false" ht="15" hidden="false" customHeight="false" outlineLevel="0" collapsed="false">
      <c r="B7" s="7" t="n">
        <v>1</v>
      </c>
      <c r="C7" s="8" t="s">
        <v>18</v>
      </c>
      <c r="D7" s="8" t="s">
        <v>19</v>
      </c>
      <c r="E7" s="8" t="n">
        <v>45047</v>
      </c>
      <c r="F7" s="8" t="n">
        <f aca="false">Openings_Table[[#This Row],[Opening Date]]+(365*10)</f>
        <v>48697</v>
      </c>
      <c r="G7" s="9" t="n">
        <f aca="false">IF(COUNTIF($C$7:C7,Openings_Table[[#This Row],[Country]])=1,400000,150000)</f>
        <v>400000</v>
      </c>
      <c r="H7" s="9" t="n">
        <f aca="true">SUMIFS(INDIRECT("Sales_"&amp;C7&amp;"[Total Royalty]"), INDIRECT("Sales_"&amp;C7&amp;"[Period]"), "&gt;=" &amp; $E7)</f>
        <v>440000</v>
      </c>
      <c r="I7" s="9" t="n">
        <f aca="true">SUMIFS(INDIRECT("Sales_"&amp;$C7&amp;"[Total Royalty]"), INDIRECT("Sales_"&amp;$C7&amp;"[Period]"), "&gt;=" &amp; $E7, INDIRECT("Sales_"&amp;$C7&amp;"[Period]"), "&lt;=" &amp; DATE(I$6,12,31))</f>
        <v>80000</v>
      </c>
      <c r="J7" s="9" t="n">
        <f aca="true">SUMIFS(INDIRECT("Sales_"&amp;$C7&amp;"[Total Royalty]"),INDIRECT("Sales_"&amp;$C7&amp;"[Period]"),"&gt;="&amp;$E7,INDIRECT("Sales_"&amp;$C7&amp;"[Period]"),"&lt;="&amp;DATE(J$6,12,31))-SUM($I7:I7)</f>
        <v>120000</v>
      </c>
      <c r="K7" s="9" t="n">
        <f aca="true">SUMIFS(INDIRECT("Sales_"&amp;$C7&amp;"[Total Royalty]"),INDIRECT("Sales_"&amp;$C7&amp;"[Period]"),"&gt;="&amp;$E7,INDIRECT("Sales_"&amp;$C7&amp;"[Period]"),"&lt;="&amp;DATE(K$6,12,31))-SUM($I7:J7)</f>
        <v>120000</v>
      </c>
      <c r="L7" s="10" t="n">
        <f aca="true">SUMIFS(INDIRECT("Sales_"&amp;$C7&amp;"[Total Royalty]"),INDIRECT("Sales_"&amp;$C7&amp;"[Period]"),"&gt;="&amp;$E7,INDIRECT("Sales_"&amp;$C7&amp;"[Period]"),"&lt;="&amp;DATE(L$6,12,31))-SUM($I7:K7)</f>
        <v>120000</v>
      </c>
      <c r="M7" s="11" t="n">
        <f aca="false">H7-SUM(I7:L7)</f>
        <v>0</v>
      </c>
    </row>
    <row r="8" customFormat="false" ht="15" hidden="false" customHeight="false" outlineLevel="0" collapsed="false">
      <c r="B8" s="7" t="n">
        <v>2</v>
      </c>
      <c r="C8" s="8" t="s">
        <v>18</v>
      </c>
      <c r="D8" s="8" t="s">
        <v>20</v>
      </c>
      <c r="E8" s="8" t="n">
        <v>45444</v>
      </c>
      <c r="F8" s="8" t="n">
        <f aca="false">Openings_Table[[#This Row],[Opening Date]]+(365*10)</f>
        <v>49094</v>
      </c>
      <c r="G8" s="9" t="n">
        <f aca="false">IF(COUNTIF($C$7:C8,Openings_Table[[#This Row],[Country]])=1,400000,150000)</f>
        <v>150000</v>
      </c>
      <c r="H8" s="9" t="n">
        <f aca="true">SUMIFS(INDIRECT("Sales_"&amp;C8&amp;"[Total Royalty]"), INDIRECT("Sales_"&amp;C8&amp;"[Period]"), "&gt;=" &amp; $E8)</f>
        <v>310000</v>
      </c>
      <c r="I8" s="9" t="n">
        <f aca="true">SUMIFS(INDIRECT("Sales_"&amp;$C8&amp;"[Total Royalty]"), INDIRECT("Sales_"&amp;$C8&amp;"[Period]"), "&gt;=" &amp; $E8, INDIRECT("Sales_"&amp;$C8&amp;"[Period]"), "&lt;=" &amp; DATE(I$6,12,31))</f>
        <v>0</v>
      </c>
      <c r="J8" s="9" t="n">
        <f aca="true">SUMIFS(INDIRECT("Sales_"&amp;$C8&amp;"[Total Royalty]"),INDIRECT("Sales_"&amp;$C8&amp;"[Period]"),"&gt;="&amp;$E8,INDIRECT("Sales_"&amp;$C8&amp;"[Period]"),"&lt;="&amp;DATE(J$6,12,31))-SUM($I8:I8)</f>
        <v>70000</v>
      </c>
      <c r="K8" s="9" t="n">
        <f aca="true">SUMIFS(INDIRECT("Sales_"&amp;$C8&amp;"[Total Royalty]"),INDIRECT("Sales_"&amp;$C8&amp;"[Period]"),"&gt;="&amp;$E8,INDIRECT("Sales_"&amp;$C8&amp;"[Period]"),"&lt;="&amp;DATE(K$6,12,31))-SUM($I8:J8)</f>
        <v>120000</v>
      </c>
      <c r="L8" s="10" t="n">
        <f aca="true">SUMIFS(INDIRECT("Sales_"&amp;$C8&amp;"[Total Royalty]"),INDIRECT("Sales_"&amp;$C8&amp;"[Period]"),"&gt;="&amp;$E8,INDIRECT("Sales_"&amp;$C8&amp;"[Period]"),"&lt;="&amp;DATE(L$6,12,31))-SUM($I8:K8)</f>
        <v>120000</v>
      </c>
      <c r="M8" s="11" t="n">
        <f aca="false">H8-SUM(I8:L8)</f>
        <v>0</v>
      </c>
    </row>
    <row r="9" customFormat="false" ht="15" hidden="false" customHeight="false" outlineLevel="0" collapsed="false">
      <c r="B9" s="7" t="n">
        <v>3</v>
      </c>
      <c r="C9" s="8" t="s">
        <v>21</v>
      </c>
      <c r="D9" s="8" t="s">
        <v>22</v>
      </c>
      <c r="E9" s="8" t="n">
        <v>45566</v>
      </c>
      <c r="F9" s="8" t="n">
        <f aca="false">Openings_Table[[#This Row],[Opening Date]]+(365*10)</f>
        <v>49216</v>
      </c>
      <c r="G9" s="9" t="n">
        <f aca="false">IF(COUNTIF($C$7:C9,Openings_Table[[#This Row],[Country]])=1,400000,150000)</f>
        <v>400000</v>
      </c>
      <c r="H9" s="9" t="n">
        <f aca="true">SUMIFS(INDIRECT("Sales_"&amp;C9&amp;"[Total Royalty]"), INDIRECT("Sales_"&amp;C9&amp;"[Period]"), "&gt;=" &amp; $E9)</f>
        <v>278242.4251664</v>
      </c>
      <c r="I9" s="9" t="n">
        <f aca="true">SUMIFS(INDIRECT("Sales_"&amp;$C9&amp;"[Total Royalty]"), INDIRECT("Sales_"&amp;$C9&amp;"[Period]"), "&gt;=" &amp; $E9, INDIRECT("Sales_"&amp;$C9&amp;"[Period]"), "&lt;=" &amp; DATE(I$6,12,31))</f>
        <v>0</v>
      </c>
      <c r="J9" s="9" t="n">
        <f aca="true">SUMIFS(INDIRECT("Sales_"&amp;$C9&amp;"[Total Royalty]"),INDIRECT("Sales_"&amp;$C9&amp;"[Period]"),"&gt;="&amp;$E9,INDIRECT("Sales_"&amp;$C9&amp;"[Period]"),"&lt;="&amp;DATE(J$6,12,31))-SUM($I9:I9)</f>
        <v>30752.1206</v>
      </c>
      <c r="K9" s="9" t="n">
        <f aca="true">SUMIFS(INDIRECT("Sales_"&amp;$C9&amp;"[Total Royalty]"),INDIRECT("Sales_"&amp;$C9&amp;"[Period]"),"&gt;="&amp;$E9,INDIRECT("Sales_"&amp;$C9&amp;"[Period]"),"&lt;="&amp;DATE(K$6,12,31))-SUM($I9:J9)</f>
        <v>122438.320764</v>
      </c>
      <c r="L9" s="10" t="n">
        <f aca="true">SUMIFS(INDIRECT("Sales_"&amp;$C9&amp;"[Total Royalty]"),INDIRECT("Sales_"&amp;$C9&amp;"[Period]"),"&gt;="&amp;$E9,INDIRECT("Sales_"&amp;$C9&amp;"[Period]"),"&lt;="&amp;DATE(L$6,12,31))-SUM($I9:K9)</f>
        <v>125051.9838024</v>
      </c>
      <c r="M9" s="11" t="n">
        <f aca="false">H9-SUM(I9:L9)</f>
        <v>0</v>
      </c>
    </row>
    <row r="10" customFormat="false" ht="15" hidden="false" customHeight="false" outlineLevel="0" collapsed="false">
      <c r="B10" s="7" t="n">
        <v>4</v>
      </c>
      <c r="C10" s="8" t="s">
        <v>23</v>
      </c>
      <c r="D10" s="8" t="s">
        <v>24</v>
      </c>
      <c r="E10" s="8" t="n">
        <v>45597</v>
      </c>
      <c r="F10" s="8" t="n">
        <f aca="false">Openings_Table[[#This Row],[Opening Date]]+(365*10)</f>
        <v>49247</v>
      </c>
      <c r="G10" s="9" t="n">
        <f aca="false">IF(COUNTIF($C$7:C10,Openings_Table[[#This Row],[Country]])=1,400000,150000)</f>
        <v>400000</v>
      </c>
      <c r="H10" s="9" t="n">
        <f aca="true">SUMIFS(INDIRECT("Sales_"&amp;C10&amp;"[Total Royalty]"), INDIRECT("Sales_"&amp;C10&amp;"[Period]"), "&gt;=" &amp; $E10)</f>
        <v>275441.8391715</v>
      </c>
      <c r="I10" s="9" t="n">
        <f aca="true">SUMIFS(INDIRECT("Sales_"&amp;$C10&amp;"[Total Royalty]"), INDIRECT("Sales_"&amp;$C10&amp;"[Period]"), "&gt;=" &amp; $E10, INDIRECT("Sales_"&amp;$C10&amp;"[Period]"), "&lt;=" &amp; DATE(I$6,12,31))</f>
        <v>0</v>
      </c>
      <c r="J10" s="9" t="n">
        <f aca="true">SUMIFS(INDIRECT("Sales_"&amp;$C10&amp;"[Total Royalty]"),INDIRECT("Sales_"&amp;$C10&amp;"[Period]"),"&gt;="&amp;$E10,INDIRECT("Sales_"&amp;$C10&amp;"[Period]"),"&lt;="&amp;DATE(J$6,12,31))-SUM($I10:I10)</f>
        <v>22120.6545</v>
      </c>
      <c r="K10" s="9" t="n">
        <f aca="true">SUMIFS(INDIRECT("Sales_"&amp;$C10&amp;"[Total Royalty]"),INDIRECT("Sales_"&amp;$C10&amp;"[Period]"),"&gt;="&amp;$E10,INDIRECT("Sales_"&amp;$C10&amp;"[Period]"),"&lt;="&amp;DATE(K$6,12,31))-SUM($I10:J10)</f>
        <v>125034.72423</v>
      </c>
      <c r="L10" s="10" t="n">
        <f aca="true">SUMIFS(INDIRECT("Sales_"&amp;$C10&amp;"[Total Royalty]"),INDIRECT("Sales_"&amp;$C10&amp;"[Period]"),"&gt;="&amp;$E10,INDIRECT("Sales_"&amp;$C10&amp;"[Period]"),"&lt;="&amp;DATE(L$6,12,31))-SUM($I10:K10)</f>
        <v>128286.4604415</v>
      </c>
      <c r="M10" s="11" t="n">
        <f aca="false">H10-SUM(I10:L10)</f>
        <v>0</v>
      </c>
    </row>
    <row r="11" customFormat="false" ht="15" hidden="false" customHeight="false" outlineLevel="0" collapsed="false">
      <c r="B11" s="7" t="n">
        <v>5</v>
      </c>
      <c r="C11" s="8" t="s">
        <v>23</v>
      </c>
      <c r="D11" s="8" t="s">
        <v>25</v>
      </c>
      <c r="E11" s="8" t="n">
        <v>45717</v>
      </c>
      <c r="F11" s="8" t="n">
        <f aca="false">Openings_Table[[#This Row],[Opening Date]]+(365*10)</f>
        <v>49367</v>
      </c>
      <c r="G11" s="9" t="n">
        <f aca="false">IF(COUNTIF($C$7:C11,Openings_Table[[#This Row],[Country]])=1,400000,150000)</f>
        <v>150000</v>
      </c>
      <c r="H11" s="9" t="n">
        <f aca="true">SUMIFS(INDIRECT("Sales_"&amp;C11&amp;"[Total Royalty]"), INDIRECT("Sales_"&amp;C11&amp;"[Period]"), "&gt;=" &amp; $E11)</f>
        <v>231952.6324245</v>
      </c>
      <c r="I11" s="9" t="n">
        <f aca="true">SUMIFS(INDIRECT("Sales_"&amp;$C11&amp;"[Total Royalty]"), INDIRECT("Sales_"&amp;$C11&amp;"[Period]"), "&gt;=" &amp; $E11, INDIRECT("Sales_"&amp;$C11&amp;"[Period]"), "&lt;=" &amp; DATE(I$6,12,31))</f>
        <v>0</v>
      </c>
      <c r="J11" s="9" t="n">
        <f aca="true">SUMIFS(INDIRECT("Sales_"&amp;$C11&amp;"[Total Royalty]"),INDIRECT("Sales_"&amp;$C11&amp;"[Period]"),"&gt;="&amp;$E11,INDIRECT("Sales_"&amp;$C11&amp;"[Period]"),"&lt;="&amp;DATE(J$6,12,31))-SUM($I11:I11)</f>
        <v>0</v>
      </c>
      <c r="K11" s="9" t="n">
        <f aca="true">SUMIFS(INDIRECT("Sales_"&amp;$C11&amp;"[Total Royalty]"),INDIRECT("Sales_"&amp;$C11&amp;"[Period]"),"&gt;="&amp;$E11,INDIRECT("Sales_"&amp;$C11&amp;"[Period]"),"&lt;="&amp;DATE(K$6,12,31))-SUM($I11:J11)</f>
        <v>103666.171983</v>
      </c>
      <c r="L11" s="10" t="n">
        <f aca="true">SUMIFS(INDIRECT("Sales_"&amp;$C11&amp;"[Total Royalty]"),INDIRECT("Sales_"&amp;$C11&amp;"[Period]"),"&gt;="&amp;$E11,INDIRECT("Sales_"&amp;$C11&amp;"[Period]"),"&lt;="&amp;DATE(L$6,12,31))-SUM($I11:K11)</f>
        <v>128286.4604415</v>
      </c>
      <c r="M11" s="11" t="n">
        <f aca="false">H11-SUM(I11:L11)</f>
        <v>0</v>
      </c>
    </row>
    <row r="12" customFormat="false" ht="15" hidden="false" customHeight="false" outlineLevel="0" collapsed="false">
      <c r="B12" s="7" t="n">
        <v>6</v>
      </c>
      <c r="C12" s="8" t="s">
        <v>23</v>
      </c>
      <c r="D12" s="8" t="s">
        <v>26</v>
      </c>
      <c r="E12" s="8" t="n">
        <v>45778</v>
      </c>
      <c r="F12" s="8" t="n">
        <f aca="false">Openings_Table[[#This Row],[Opening Date]]+(365*10)</f>
        <v>49428</v>
      </c>
      <c r="G12" s="9" t="n">
        <f aca="false">IF(COUNTIF($C$7:C12,Openings_Table[[#This Row],[Country]])=1,400000,150000)</f>
        <v>150000</v>
      </c>
      <c r="H12" s="9" t="n">
        <f aca="true">SUMIFS(INDIRECT("Sales_"&amp;C12&amp;"[Total Royalty]"), INDIRECT("Sales_"&amp;C12&amp;"[Period]"), "&gt;=" &amp; $E12)</f>
        <v>211732.8900455</v>
      </c>
      <c r="I12" s="9" t="n">
        <f aca="true">SUMIFS(INDIRECT("Sales_"&amp;$C12&amp;"[Total Royalty]"), INDIRECT("Sales_"&amp;$C12&amp;"[Period]"), "&gt;=" &amp; $E12, INDIRECT("Sales_"&amp;$C12&amp;"[Period]"), "&lt;=" &amp; DATE(I$6,12,31))</f>
        <v>0</v>
      </c>
      <c r="J12" s="9" t="n">
        <f aca="true">SUMIFS(INDIRECT("Sales_"&amp;$C12&amp;"[Total Royalty]"),INDIRECT("Sales_"&amp;$C12&amp;"[Period]"),"&gt;="&amp;$E12,INDIRECT("Sales_"&amp;$C12&amp;"[Period]"),"&lt;="&amp;DATE(J$6,12,31))-SUM($I12:I12)</f>
        <v>0</v>
      </c>
      <c r="K12" s="9" t="n">
        <f aca="true">SUMIFS(INDIRECT("Sales_"&amp;$C12&amp;"[Total Royalty]"),INDIRECT("Sales_"&amp;$C12&amp;"[Period]"),"&gt;="&amp;$E12,INDIRECT("Sales_"&amp;$C12&amp;"[Period]"),"&lt;="&amp;DATE(K$6,12,31))-SUM($I12:J12)</f>
        <v>83446.429604</v>
      </c>
      <c r="L12" s="10" t="n">
        <f aca="true">SUMIFS(INDIRECT("Sales_"&amp;$C12&amp;"[Total Royalty]"),INDIRECT("Sales_"&amp;$C12&amp;"[Period]"),"&gt;="&amp;$E12,INDIRECT("Sales_"&amp;$C12&amp;"[Period]"),"&lt;="&amp;DATE(L$6,12,31))-SUM($I12:K12)</f>
        <v>128286.4604415</v>
      </c>
      <c r="M12" s="11" t="n">
        <f aca="false">H12-SUM(I12:L12)</f>
        <v>0</v>
      </c>
    </row>
    <row r="13" customFormat="false" ht="15" hidden="false" customHeight="false" outlineLevel="0" collapsed="false">
      <c r="B13" s="7" t="n">
        <v>7</v>
      </c>
      <c r="C13" s="8" t="s">
        <v>27</v>
      </c>
      <c r="D13" s="8" t="s">
        <v>28</v>
      </c>
      <c r="E13" s="8" t="n">
        <v>45870</v>
      </c>
      <c r="F13" s="8" t="n">
        <f aca="false">Openings_Table[[#This Row],[Opening Date]]+(365*10)</f>
        <v>49520</v>
      </c>
      <c r="G13" s="9" t="n">
        <f aca="false">IF(COUNTIF($C$7:C13,Openings_Table[[#This Row],[Country]])=1,400000,150000)</f>
        <v>400000</v>
      </c>
      <c r="H13" s="9" t="n">
        <f aca="true">SUMIFS(INDIRECT("Sales_"&amp;C13&amp;"[Total Royalty]"), INDIRECT("Sales_"&amp;C13&amp;"[Period]"), "&gt;=" &amp; $E13)</f>
        <v>172958.535686536</v>
      </c>
      <c r="I13" s="9" t="n">
        <f aca="true">SUMIFS(INDIRECT("Sales_"&amp;$C13&amp;"[Total Royalty]"), INDIRECT("Sales_"&amp;$C13&amp;"[Period]"), "&gt;=" &amp; $E13, INDIRECT("Sales_"&amp;$C13&amp;"[Period]"), "&lt;=" &amp; DATE(I$6,12,31))</f>
        <v>0</v>
      </c>
      <c r="J13" s="9" t="n">
        <f aca="true">SUMIFS(INDIRECT("Sales_"&amp;$C13&amp;"[Total Royalty]"),INDIRECT("Sales_"&amp;$C13&amp;"[Period]"),"&gt;="&amp;$E13,INDIRECT("Sales_"&amp;$C13&amp;"[Period]"),"&lt;="&amp;DATE(J$6,12,31))-SUM($I13:I13)</f>
        <v>0</v>
      </c>
      <c r="K13" s="9" t="n">
        <f aca="true">SUMIFS(INDIRECT("Sales_"&amp;$C13&amp;"[Total Royalty]"),INDIRECT("Sales_"&amp;$C13&amp;"[Period]"),"&gt;="&amp;$E13,INDIRECT("Sales_"&amp;$C13&amp;"[Period]"),"&lt;="&amp;DATE(K$6,12,31))-SUM($I13:J13)</f>
        <v>50508.25033258</v>
      </c>
      <c r="L13" s="10" t="n">
        <f aca="true">SUMIFS(INDIRECT("Sales_"&amp;$C13&amp;"[Total Royalty]"),INDIRECT("Sales_"&amp;$C13&amp;"[Period]"),"&gt;="&amp;$E13,INDIRECT("Sales_"&amp;$C13&amp;"[Period]"),"&lt;="&amp;DATE(L$6,12,31))-SUM($I13:K13)</f>
        <v>122450.285353956</v>
      </c>
      <c r="M13" s="11" t="n">
        <f aca="false">H13-SUM(I13:L13)</f>
        <v>0</v>
      </c>
    </row>
    <row r="14" customFormat="false" ht="15" hidden="false" customHeight="false" outlineLevel="0" collapsed="false">
      <c r="B14" s="7" t="n">
        <v>8</v>
      </c>
      <c r="C14" s="8" t="s">
        <v>29</v>
      </c>
      <c r="D14" s="8" t="s">
        <v>30</v>
      </c>
      <c r="E14" s="8" t="n">
        <v>45992</v>
      </c>
      <c r="F14" s="8" t="n">
        <f aca="false">Openings_Table[[#This Row],[Opening Date]]+(365*10)</f>
        <v>49642</v>
      </c>
      <c r="G14" s="9" t="n">
        <f aca="false">IF(COUNTIF($C$7:C14,Openings_Table[[#This Row],[Country]])=1,400000,150000)</f>
        <v>400000</v>
      </c>
      <c r="H14" s="9" t="n">
        <f aca="true">SUMIFS(INDIRECT("Sales_"&amp;C14&amp;"[Total Royalty]"), INDIRECT("Sales_"&amp;C14&amp;"[Period]"), "&gt;=" &amp; $E14)</f>
        <v>130000</v>
      </c>
      <c r="I14" s="9" t="n">
        <f aca="true">SUMIFS(INDIRECT("Sales_"&amp;$C14&amp;"[Total Royalty]"), INDIRECT("Sales_"&amp;$C14&amp;"[Period]"), "&gt;=" &amp; $E14, INDIRECT("Sales_"&amp;$C14&amp;"[Period]"), "&lt;=" &amp; DATE(I$6,12,31))</f>
        <v>0</v>
      </c>
      <c r="J14" s="9" t="n">
        <f aca="true">SUMIFS(INDIRECT("Sales_"&amp;$C14&amp;"[Total Royalty]"),INDIRECT("Sales_"&amp;$C14&amp;"[Period]"),"&gt;="&amp;$E14,INDIRECT("Sales_"&amp;$C14&amp;"[Period]"),"&lt;="&amp;DATE(J$6,12,31))-SUM($I14:I14)</f>
        <v>0</v>
      </c>
      <c r="K14" s="9" t="n">
        <f aca="true">SUMIFS(INDIRECT("Sales_"&amp;$C14&amp;"[Total Royalty]"),INDIRECT("Sales_"&amp;$C14&amp;"[Period]"),"&gt;="&amp;$E14,INDIRECT("Sales_"&amp;$C14&amp;"[Period]"),"&lt;="&amp;DATE(K$6,12,31))-SUM($I14:J14)</f>
        <v>10000</v>
      </c>
      <c r="L14" s="10" t="n">
        <f aca="true">SUMIFS(INDIRECT("Sales_"&amp;$C14&amp;"[Total Royalty]"),INDIRECT("Sales_"&amp;$C14&amp;"[Period]"),"&gt;="&amp;$E14,INDIRECT("Sales_"&amp;$C14&amp;"[Period]"),"&lt;="&amp;DATE(L$6,12,31))-SUM($I14:K14)</f>
        <v>120000</v>
      </c>
      <c r="M14" s="11" t="n">
        <f aca="false">H14-SUM(I14:L14)</f>
        <v>0</v>
      </c>
    </row>
    <row r="15" customFormat="false" ht="15" hidden="false" customHeight="false" outlineLevel="0" collapsed="false">
      <c r="B15" s="7" t="n">
        <v>9</v>
      </c>
      <c r="C15" s="8" t="s">
        <v>31</v>
      </c>
      <c r="D15" s="8" t="s">
        <v>32</v>
      </c>
      <c r="E15" s="8" t="n">
        <v>46082</v>
      </c>
      <c r="F15" s="8" t="n">
        <f aca="false">Openings_Table[[#This Row],[Opening Date]]+(365*10)</f>
        <v>49732</v>
      </c>
      <c r="G15" s="9" t="n">
        <f aca="false">IF(COUNTIF($C$7:C15,Openings_Table[[#This Row],[Country]])=1,400000,150000)</f>
        <v>400000</v>
      </c>
      <c r="H15" s="9" t="n">
        <f aca="true">SUMIFS(INDIRECT("Sales_"&amp;C15&amp;"[Total Royalty]"), INDIRECT("Sales_"&amp;C15&amp;"[Period]"), "&gt;=" &amp; $E15)</f>
        <v>100000</v>
      </c>
      <c r="I15" s="9" t="n">
        <f aca="true">SUMIFS(INDIRECT("Sales_"&amp;$C15&amp;"[Total Royalty]"), INDIRECT("Sales_"&amp;$C15&amp;"[Period]"), "&gt;=" &amp; $E15, INDIRECT("Sales_"&amp;$C15&amp;"[Period]"), "&lt;=" &amp; DATE(I$6,12,31))</f>
        <v>0</v>
      </c>
      <c r="J15" s="9" t="n">
        <f aca="true">SUMIFS(INDIRECT("Sales_"&amp;$C15&amp;"[Total Royalty]"),INDIRECT("Sales_"&amp;$C15&amp;"[Period]"),"&gt;="&amp;$E15,INDIRECT("Sales_"&amp;$C15&amp;"[Period]"),"&lt;="&amp;DATE(J$6,12,31))-SUM($I15:I15)</f>
        <v>0</v>
      </c>
      <c r="K15" s="9" t="n">
        <f aca="true">SUMIFS(INDIRECT("Sales_"&amp;$C15&amp;"[Total Royalty]"),INDIRECT("Sales_"&amp;$C15&amp;"[Period]"),"&gt;="&amp;$E15,INDIRECT("Sales_"&amp;$C15&amp;"[Period]"),"&lt;="&amp;DATE(K$6,12,31))-SUM($I15:J15)</f>
        <v>0</v>
      </c>
      <c r="L15" s="10" t="n">
        <f aca="true">SUMIFS(INDIRECT("Sales_"&amp;$C15&amp;"[Total Royalty]"),INDIRECT("Sales_"&amp;$C15&amp;"[Period]"),"&gt;="&amp;$E15,INDIRECT("Sales_"&amp;$C15&amp;"[Period]"),"&lt;="&amp;DATE(L$6,12,31))-SUM($I15:K15)</f>
        <v>100000</v>
      </c>
      <c r="M15" s="11" t="n">
        <f aca="false">H15-SUM(I15:L15)</f>
        <v>0</v>
      </c>
    </row>
    <row r="16" customFormat="false" ht="15" hidden="false" customHeight="false" outlineLevel="0" collapsed="false">
      <c r="B16" s="12" t="n">
        <v>10</v>
      </c>
      <c r="C16" s="13" t="s">
        <v>33</v>
      </c>
      <c r="D16" s="13" t="s">
        <v>34</v>
      </c>
      <c r="E16" s="13" t="n">
        <v>46174</v>
      </c>
      <c r="F16" s="13" t="n">
        <f aca="false">Openings_Table[[#This Row],[Opening Date]]+(365*10)</f>
        <v>49824</v>
      </c>
      <c r="G16" s="9" t="n">
        <f aca="false">IF(COUNTIF($C$7:C16,Openings_Table[[#This Row],[Country]])=1,400000,150000)</f>
        <v>400000</v>
      </c>
      <c r="H16" s="14" t="n">
        <f aca="true">SUMIFS(INDIRECT("Sales_"&amp;C16&amp;"[Total Royalty]"), INDIRECT("Sales_"&amp;C16&amp;"[Period]"), "&gt;=" &amp; $E16)</f>
        <v>70399.2552273048</v>
      </c>
      <c r="I16" s="14" t="n">
        <f aca="true">SUMIFS(INDIRECT("Sales_"&amp;$C16&amp;"[Total Royalty]"), INDIRECT("Sales_"&amp;$C16&amp;"[Period]"), "&gt;=" &amp; $E16, INDIRECT("Sales_"&amp;$C16&amp;"[Period]"), "&lt;=" &amp; DATE(I$6,12,31))</f>
        <v>0</v>
      </c>
      <c r="J16" s="14" t="n">
        <f aca="true">SUMIFS(INDIRECT("Sales_"&amp;$C16&amp;"[Total Royalty]"),INDIRECT("Sales_"&amp;$C16&amp;"[Period]"),"&gt;="&amp;$E16,INDIRECT("Sales_"&amp;$C16&amp;"[Period]"),"&lt;="&amp;DATE(J$6,12,31))-SUM($I16:I16)</f>
        <v>0</v>
      </c>
      <c r="K16" s="14" t="n">
        <f aca="true">SUMIFS(INDIRECT("Sales_"&amp;$C16&amp;"[Total Royalty]"),INDIRECT("Sales_"&amp;$C16&amp;"[Period]"),"&gt;="&amp;$E16,INDIRECT("Sales_"&amp;$C16&amp;"[Period]"),"&lt;="&amp;DATE(K$6,12,31))-SUM($I16:J16)</f>
        <v>0</v>
      </c>
      <c r="L16" s="15" t="n">
        <f aca="true">SUMIFS(INDIRECT("Sales_"&amp;$C16&amp;"[Total Royalty]"),INDIRECT("Sales_"&amp;$C16&amp;"[Period]"),"&gt;="&amp;$E16,INDIRECT("Sales_"&amp;$C16&amp;"[Period]"),"&lt;="&amp;DATE(L$6,12,31))-SUM($I16:K16)</f>
        <v>70399.2552273048</v>
      </c>
      <c r="M16" s="11" t="n">
        <f aca="false">H16-SUM(I16:L16)</f>
        <v>0</v>
      </c>
    </row>
    <row r="18" customFormat="false" ht="15.75" hidden="false" customHeight="true" outlineLevel="0" collapsed="false">
      <c r="G18" s="16" t="n">
        <f aca="false">SUM(G7:G16)</f>
        <v>3250000</v>
      </c>
      <c r="H18" s="16" t="n">
        <f aca="false">SUM(H7:H16)</f>
        <v>2220727.57772174</v>
      </c>
      <c r="I18" s="16" t="n">
        <f aca="false">SUM(I7:I16)</f>
        <v>80000</v>
      </c>
      <c r="J18" s="16" t="n">
        <f aca="false">SUM(J7:J16)</f>
        <v>242872.7751</v>
      </c>
      <c r="K18" s="16" t="n">
        <f aca="false">SUM(K7:K16)</f>
        <v>735093.89691358</v>
      </c>
      <c r="L18" s="16" t="n">
        <f aca="false">SUM(L7:L16)</f>
        <v>1162760.90570816</v>
      </c>
      <c r="M18" s="11" t="n">
        <f aca="false">H18-SUM(I18:L18)</f>
        <v>0</v>
      </c>
    </row>
    <row r="21" customFormat="false" ht="15" hidden="false" customHeight="false" outlineLevel="0" collapsed="false">
      <c r="C21" s="17" t="s">
        <v>35</v>
      </c>
      <c r="D21" s="17" t="s">
        <v>36</v>
      </c>
      <c r="E21" s="17" t="s">
        <v>37</v>
      </c>
      <c r="F21" s="17" t="s">
        <v>38</v>
      </c>
      <c r="G21" s="17" t="s">
        <v>39</v>
      </c>
    </row>
    <row r="22" customFormat="false" ht="15" hidden="false" customHeight="false" outlineLevel="0" collapsed="false">
      <c r="C22" s="18" t="n">
        <v>6</v>
      </c>
      <c r="D22" s="19" t="n">
        <f aca="false">C22*'Financials Short'!$D$11+('Financials Short'!$D$29-'Financials Short'!$D$34)</f>
        <v>6561938.81839795</v>
      </c>
      <c r="E22" s="19" t="n">
        <f aca="false">D22*20%</f>
        <v>1312387.76367959</v>
      </c>
      <c r="F22" s="19" t="n">
        <f aca="false">E22/(1+25%)^$D$27</f>
        <v>671942.535003951</v>
      </c>
      <c r="G22" s="20" t="n">
        <f aca="false">(E22/$C$27)^(1/$D$27)-1</f>
        <v>0.094848575122753</v>
      </c>
    </row>
    <row r="23" customFormat="false" ht="15" hidden="false" customHeight="false" outlineLevel="0" collapsed="false">
      <c r="C23" s="18" t="n">
        <v>8</v>
      </c>
      <c r="D23" s="19" t="n">
        <f aca="false">C23*'Financials Short'!$D$11+('Financials Short'!$D$29-'Financials Short'!$D$34)</f>
        <v>8321216.86025261</v>
      </c>
      <c r="E23" s="19" t="n">
        <f aca="false">D23*20%</f>
        <v>1664243.37205052</v>
      </c>
      <c r="F23" s="19" t="n">
        <f aca="false">E23/(1+25%)^$D$27</f>
        <v>852092.606489868</v>
      </c>
      <c r="G23" s="20" t="n">
        <f aca="false">(E23/$C$27)^(1/$D$27)-1</f>
        <v>0.185056196080556</v>
      </c>
    </row>
    <row r="24" customFormat="false" ht="15" hidden="false" customHeight="false" outlineLevel="0" collapsed="false">
      <c r="C24" s="18" t="n">
        <v>10</v>
      </c>
      <c r="D24" s="19" t="n">
        <f aca="false">C24*'Financials Short'!$D$11+('Financials Short'!$D$29-'Financials Short'!$D$34)</f>
        <v>10080494.9021073</v>
      </c>
      <c r="E24" s="19" t="n">
        <f aca="false">D24*20%</f>
        <v>2016098.98042146</v>
      </c>
      <c r="F24" s="19" t="n">
        <f aca="false">E24/(1+25%)^$D$27</f>
        <v>1032242.67797579</v>
      </c>
      <c r="G24" s="20" t="n">
        <f aca="false">(E24/$C$27)^(1/$D$27)-1</f>
        <v>0.263292593661682</v>
      </c>
    </row>
    <row r="26" customFormat="false" ht="15" hidden="false" customHeight="false" outlineLevel="0" collapsed="false">
      <c r="C26" s="21" t="s">
        <v>40</v>
      </c>
      <c r="D26" s="21" t="s">
        <v>41</v>
      </c>
    </row>
    <row r="27" customFormat="false" ht="15" hidden="false" customHeight="false" outlineLevel="0" collapsed="false">
      <c r="C27" s="19" t="n">
        <v>1000000</v>
      </c>
      <c r="D27" s="22" t="n">
        <v>3</v>
      </c>
    </row>
  </sheetData>
  <mergeCells count="6">
    <mergeCell ref="B2:E2"/>
    <mergeCell ref="F2:H2"/>
    <mergeCell ref="B3:E3"/>
    <mergeCell ref="F3:H3"/>
    <mergeCell ref="B4:E4"/>
    <mergeCell ref="F4: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3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D11" activeCellId="0" sqref="D11"/>
    </sheetView>
  </sheetViews>
  <sheetFormatPr defaultColWidth="8.796875" defaultRowHeight="15" zeroHeight="false" outlineLevelRow="0" outlineLevelCol="0"/>
  <cols>
    <col collapsed="false" customWidth="true" hidden="false" outlineLevel="0" max="1" min="1" style="1" width="37.67"/>
    <col collapsed="false" customWidth="true" hidden="false" outlineLevel="0" max="4" min="2" style="1" width="16.39"/>
    <col collapsed="false" customWidth="true" hidden="false" outlineLevel="0" max="5" min="5" style="1" width="13.26"/>
    <col collapsed="false" customWidth="true" hidden="false" outlineLevel="0" max="6" min="6" style="1" width="10.4"/>
    <col collapsed="false" customWidth="true" hidden="false" outlineLevel="0" max="7" min="7" style="1" width="15.39"/>
    <col collapsed="false" customWidth="true" hidden="false" outlineLevel="0" max="8" min="8" style="1" width="21.26"/>
    <col collapsed="false" customWidth="true" hidden="false" outlineLevel="0" max="9" min="9" style="1" width="11.67"/>
    <col collapsed="false" customWidth="true" hidden="false" outlineLevel="0" max="10" min="10" style="1" width="9.47"/>
    <col collapsed="false" customWidth="false" hidden="false" outlineLevel="0" max="12" min="11" style="1" width="8.8"/>
    <col collapsed="false" customWidth="true" hidden="false" outlineLevel="0" max="13" min="13" style="1" width="10.79"/>
    <col collapsed="false" customWidth="true" hidden="false" outlineLevel="0" max="14" min="14" style="1" width="12.87"/>
    <col collapsed="false" customWidth="false" hidden="false" outlineLevel="0" max="16384" min="15" style="1" width="8.8"/>
  </cols>
  <sheetData>
    <row r="1" customFormat="false" ht="15" hidden="false" customHeight="false" outlineLevel="0" collapsed="false">
      <c r="N1" s="23"/>
    </row>
    <row r="2" customFormat="false" ht="15" hidden="false" customHeight="false" outlineLevel="0" collapsed="false">
      <c r="A2" s="24" t="s">
        <v>42</v>
      </c>
      <c r="B2" s="24"/>
      <c r="C2" s="24"/>
      <c r="D2" s="24"/>
    </row>
    <row r="3" customFormat="false" ht="15" hidden="false" customHeight="false" outlineLevel="0" collapsed="false">
      <c r="A3" s="25" t="s">
        <v>43</v>
      </c>
      <c r="B3" s="26" t="n">
        <v>45657</v>
      </c>
      <c r="C3" s="26" t="n">
        <v>46022</v>
      </c>
      <c r="D3" s="27" t="n">
        <v>46387</v>
      </c>
    </row>
    <row r="4" customFormat="false" ht="15" hidden="false" customHeight="false" outlineLevel="0" collapsed="false">
      <c r="A4" s="28" t="s">
        <v>44</v>
      </c>
      <c r="B4" s="29" t="n">
        <f aca="false">SUM('Financial Statements'!G20:R26)</f>
        <v>65416.6666666667</v>
      </c>
      <c r="C4" s="29" t="n">
        <f aca="false">SUM('Financial Statements'!S20:AD26)</f>
        <v>177500</v>
      </c>
      <c r="D4" s="30" t="n">
        <f aca="false">SUM('Financial Statements'!AE20:AP26)</f>
        <v>301666.666666667</v>
      </c>
    </row>
    <row r="5" customFormat="false" ht="15" hidden="false" customHeight="false" outlineLevel="0" collapsed="false">
      <c r="A5" s="28" t="s">
        <v>45</v>
      </c>
      <c r="B5" s="29" t="n">
        <f aca="false">SUM('Financial Statements'!G30:R36)</f>
        <v>242872.7751</v>
      </c>
      <c r="C5" s="29" t="n">
        <f aca="false">SUM('Financial Statements'!S30:AD36)</f>
        <v>735093.89691358</v>
      </c>
      <c r="D5" s="30" t="n">
        <f aca="false">SUM('Financial Statements'!AE30:AP36)</f>
        <v>1162760.90570816</v>
      </c>
    </row>
    <row r="6" customFormat="false" ht="15" hidden="false" customHeight="false" outlineLevel="0" collapsed="false">
      <c r="A6" s="25" t="s">
        <v>46</v>
      </c>
      <c r="B6" s="31" t="n">
        <f aca="false">SUM(B4:B5)</f>
        <v>308289.441766667</v>
      </c>
      <c r="C6" s="31" t="n">
        <f aca="false">SUM(C4:C5)</f>
        <v>912593.89691358</v>
      </c>
      <c r="D6" s="32" t="n">
        <f aca="false">SUM(D4:D5)</f>
        <v>1464427.57237483</v>
      </c>
    </row>
    <row r="7" customFormat="false" ht="15" hidden="false" customHeight="false" outlineLevel="0" collapsed="false">
      <c r="A7" s="25"/>
      <c r="B7" s="31"/>
      <c r="C7" s="31"/>
      <c r="D7" s="32"/>
    </row>
    <row r="8" customFormat="false" ht="15" hidden="false" customHeight="false" outlineLevel="0" collapsed="false">
      <c r="A8" s="28" t="s">
        <v>47</v>
      </c>
      <c r="B8" s="29" t="n">
        <f aca="false">SUM('Financial Statements'!G49:R49)</f>
        <v>60000</v>
      </c>
      <c r="C8" s="29" t="n">
        <f aca="false">SUM('Financial Statements'!S49:AD49)</f>
        <v>110000</v>
      </c>
      <c r="D8" s="30" t="n">
        <f aca="false">SUM('Financial Statements'!AE49:AP49)</f>
        <v>147000</v>
      </c>
    </row>
    <row r="9" customFormat="false" ht="15" hidden="false" customHeight="false" outlineLevel="0" collapsed="false">
      <c r="A9" s="28" t="s">
        <v>48</v>
      </c>
      <c r="B9" s="29" t="n">
        <f aca="false">SUM('Financial Statements'!G60:R60)</f>
        <v>281165.788835333</v>
      </c>
      <c r="C9" s="29" t="n">
        <f aca="false">SUM('Financial Statements'!S60:AD60)</f>
        <v>365251.877938272</v>
      </c>
      <c r="D9" s="30" t="n">
        <f aca="false">SUM('Financial Statements'!AE60:AP60)</f>
        <v>437788.551447497</v>
      </c>
    </row>
    <row r="10" customFormat="false" ht="15" hidden="false" customHeight="false" outlineLevel="0" collapsed="false">
      <c r="A10" s="25"/>
      <c r="B10" s="33"/>
      <c r="C10" s="33"/>
      <c r="D10" s="34"/>
    </row>
    <row r="11" customFormat="false" ht="15" hidden="false" customHeight="false" outlineLevel="0" collapsed="false">
      <c r="A11" s="25" t="s">
        <v>49</v>
      </c>
      <c r="B11" s="33" t="n">
        <f aca="false">B6-SUM(B8:B9)</f>
        <v>-32876.3470686667</v>
      </c>
      <c r="C11" s="33" t="n">
        <f aca="false">C6-SUM(C8:C9)</f>
        <v>437342.018975308</v>
      </c>
      <c r="D11" s="34" t="n">
        <f aca="false">D6-SUM(D8:D9)</f>
        <v>879639.02092733</v>
      </c>
    </row>
    <row r="12" customFormat="false" ht="15" hidden="false" customHeight="false" outlineLevel="0" collapsed="false">
      <c r="A12" s="35" t="s">
        <v>50</v>
      </c>
      <c r="B12" s="36" t="n">
        <f aca="false">B11/B6</f>
        <v>-0.106641170973185</v>
      </c>
      <c r="C12" s="36" t="n">
        <f aca="false">C11/C6</f>
        <v>0.479229611828889</v>
      </c>
      <c r="D12" s="37" t="n">
        <f aca="false">D11/D6</f>
        <v>0.600670895250109</v>
      </c>
    </row>
    <row r="13" customFormat="false" ht="15" hidden="false" customHeight="false" outlineLevel="0" collapsed="false">
      <c r="A13" s="38"/>
      <c r="B13" s="39"/>
      <c r="C13" s="39"/>
      <c r="D13" s="40"/>
    </row>
    <row r="14" customFormat="false" ht="15" hidden="false" customHeight="false" outlineLevel="0" collapsed="false">
      <c r="A14" s="41" t="s">
        <v>51</v>
      </c>
      <c r="B14" s="41"/>
      <c r="C14" s="41"/>
      <c r="D14" s="41"/>
    </row>
    <row r="15" customFormat="false" ht="15" hidden="false" customHeight="false" outlineLevel="0" collapsed="false">
      <c r="A15" s="42"/>
      <c r="B15" s="26" t="n">
        <v>45657</v>
      </c>
      <c r="C15" s="26" t="n">
        <v>46022</v>
      </c>
      <c r="D15" s="27" t="n">
        <v>46387</v>
      </c>
    </row>
    <row r="16" customFormat="false" ht="15" hidden="false" customHeight="false" outlineLevel="0" collapsed="false">
      <c r="A16" s="43" t="s">
        <v>52</v>
      </c>
      <c r="B16" s="33" t="n">
        <f aca="false">'Financial Statements'!G67</f>
        <v>400000</v>
      </c>
      <c r="C16" s="33" t="n">
        <f aca="false">B21</f>
        <v>1251706.98626467</v>
      </c>
      <c r="D16" s="34" t="n">
        <f aca="false">C21</f>
        <v>2611549.00523997</v>
      </c>
    </row>
    <row r="17" customFormat="false" ht="15" hidden="false" customHeight="false" outlineLevel="0" collapsed="false">
      <c r="A17" s="43"/>
      <c r="B17" s="33"/>
      <c r="C17" s="33"/>
      <c r="D17" s="34"/>
    </row>
    <row r="18" customFormat="false" ht="15" hidden="false" customHeight="false" outlineLevel="0" collapsed="false">
      <c r="A18" s="28" t="s">
        <v>53</v>
      </c>
      <c r="B18" s="29" t="n">
        <f aca="false">SUM('Financial Statements'!G69:R69)</f>
        <v>-98293.0137353333</v>
      </c>
      <c r="C18" s="29" t="n">
        <f aca="false">SUM('Financial Statements'!S69:AD69)</f>
        <v>259842.018975308</v>
      </c>
      <c r="D18" s="30" t="n">
        <f aca="false">SUM('Financial Statements'!AE69:AP69)</f>
        <v>577972.354260664</v>
      </c>
    </row>
    <row r="19" customFormat="false" ht="15" hidden="false" customHeight="false" outlineLevel="0" collapsed="false">
      <c r="A19" s="28" t="s">
        <v>54</v>
      </c>
      <c r="B19" s="29" t="n">
        <f aca="false">SUM('Financial Statements'!G70:R70)</f>
        <v>950000</v>
      </c>
      <c r="C19" s="29" t="n">
        <f aca="false">SUM('Financial Statements'!S70:AD70)</f>
        <v>1100000</v>
      </c>
      <c r="D19" s="30" t="n">
        <f aca="false">SUM('Financial Statements'!AE70:AP70)</f>
        <v>800000</v>
      </c>
    </row>
    <row r="20" customFormat="false" ht="15" hidden="false" customHeight="false" outlineLevel="0" collapsed="false">
      <c r="A20" s="42"/>
      <c r="B20" s="33"/>
      <c r="C20" s="33"/>
      <c r="D20" s="34"/>
    </row>
    <row r="21" customFormat="false" ht="15" hidden="false" customHeight="false" outlineLevel="0" collapsed="false">
      <c r="A21" s="43" t="s">
        <v>55</v>
      </c>
      <c r="B21" s="33" t="n">
        <f aca="false">B16+SUM(B18:B19)</f>
        <v>1251706.98626467</v>
      </c>
      <c r="C21" s="33" t="n">
        <f aca="false">C16+SUM(C18:C19)</f>
        <v>2611549.00523997</v>
      </c>
      <c r="D21" s="34" t="n">
        <f aca="false">D16+SUM(D18:D19)</f>
        <v>3989521.35950064</v>
      </c>
    </row>
    <row r="22" customFormat="false" ht="15" hidden="false" customHeight="false" outlineLevel="0" collapsed="false">
      <c r="A22" s="44"/>
      <c r="B22" s="39"/>
      <c r="C22" s="39"/>
      <c r="D22" s="40"/>
    </row>
    <row r="23" customFormat="false" ht="15" hidden="false" customHeight="false" outlineLevel="0" collapsed="false">
      <c r="A23" s="41" t="s">
        <v>56</v>
      </c>
      <c r="B23" s="41"/>
      <c r="C23" s="41"/>
      <c r="D23" s="41"/>
    </row>
    <row r="24" customFormat="false" ht="15" hidden="false" customHeight="false" outlineLevel="0" collapsed="false">
      <c r="A24" s="42"/>
      <c r="B24" s="26" t="n">
        <v>45657</v>
      </c>
      <c r="C24" s="26" t="n">
        <v>46022</v>
      </c>
      <c r="D24" s="27" t="n">
        <v>46387</v>
      </c>
    </row>
    <row r="25" customFormat="false" ht="15" hidden="false" customHeight="false" outlineLevel="0" collapsed="false">
      <c r="A25" s="45" t="s">
        <v>57</v>
      </c>
      <c r="B25" s="33"/>
      <c r="C25" s="33"/>
      <c r="D25" s="34"/>
    </row>
    <row r="26" customFormat="false" ht="15" hidden="false" customHeight="false" outlineLevel="0" collapsed="false">
      <c r="A26" s="45" t="s">
        <v>58</v>
      </c>
      <c r="B26" s="33"/>
      <c r="C26" s="33"/>
      <c r="D26" s="34"/>
    </row>
    <row r="27" customFormat="false" ht="15" hidden="false" customHeight="false" outlineLevel="0" collapsed="false">
      <c r="A27" s="28" t="s">
        <v>59</v>
      </c>
      <c r="B27" s="29" t="n">
        <f aca="false">'Financial Statements'!R79</f>
        <v>500000</v>
      </c>
      <c r="C27" s="29" t="n">
        <f aca="false">'Financial Statements'!AD79</f>
        <v>500000</v>
      </c>
      <c r="D27" s="30" t="n">
        <f aca="false">'Financial Statements'!AP79</f>
        <v>500000</v>
      </c>
    </row>
    <row r="28" customFormat="false" ht="15" hidden="false" customHeight="false" outlineLevel="0" collapsed="false">
      <c r="A28" s="45" t="s">
        <v>60</v>
      </c>
      <c r="B28" s="33"/>
      <c r="C28" s="33"/>
      <c r="D28" s="34"/>
    </row>
    <row r="29" customFormat="false" ht="15" hidden="false" customHeight="false" outlineLevel="0" collapsed="false">
      <c r="A29" s="28" t="s">
        <v>61</v>
      </c>
      <c r="B29" s="29" t="n">
        <f aca="false">'Financial Statements'!R84</f>
        <v>1251706.98626467</v>
      </c>
      <c r="C29" s="29" t="n">
        <f aca="false">'Financial Statements'!AD84</f>
        <v>2611549.00523998</v>
      </c>
      <c r="D29" s="30" t="n">
        <f aca="false">'Financial Statements'!AP84</f>
        <v>3989521.35950064</v>
      </c>
    </row>
    <row r="30" customFormat="false" ht="14.25" hidden="false" customHeight="true" outlineLevel="0" collapsed="false">
      <c r="A30" s="42"/>
      <c r="B30" s="33"/>
      <c r="C30" s="33"/>
      <c r="D30" s="34"/>
    </row>
    <row r="31" customFormat="false" ht="14.25" hidden="false" customHeight="true" outlineLevel="0" collapsed="false">
      <c r="A31" s="45" t="s">
        <v>62</v>
      </c>
      <c r="B31" s="33" t="n">
        <f aca="false">'Financial Statements'!R88</f>
        <v>1751706.98626467</v>
      </c>
      <c r="C31" s="33" t="n">
        <f aca="false">'Financial Statements'!AD88</f>
        <v>3111549.00523998</v>
      </c>
      <c r="D31" s="34" t="n">
        <f aca="false">'Financial Statements'!AP88</f>
        <v>4489521.35950064</v>
      </c>
    </row>
    <row r="32" customFormat="false" ht="14.25" hidden="false" customHeight="true" outlineLevel="0" collapsed="false">
      <c r="A32" s="46"/>
      <c r="B32" s="33"/>
      <c r="C32" s="33"/>
      <c r="D32" s="34"/>
    </row>
    <row r="33" customFormat="false" ht="15" hidden="false" customHeight="false" outlineLevel="0" collapsed="false">
      <c r="A33" s="45" t="s">
        <v>63</v>
      </c>
      <c r="B33" s="33"/>
      <c r="C33" s="33"/>
      <c r="D33" s="34"/>
    </row>
    <row r="34" customFormat="false" ht="15" hidden="false" customHeight="false" outlineLevel="0" collapsed="false">
      <c r="A34" s="28" t="s">
        <v>64</v>
      </c>
      <c r="B34" s="29" t="n">
        <f aca="false">'Financial Statements'!R91</f>
        <v>1284583.33333333</v>
      </c>
      <c r="C34" s="29" t="n">
        <f aca="false">'Financial Statements'!AD91</f>
        <v>2207083.33333333</v>
      </c>
      <c r="D34" s="30" t="n">
        <f aca="false">'Financial Statements'!AP91</f>
        <v>2705416.66666667</v>
      </c>
    </row>
    <row r="35" customFormat="false" ht="15" hidden="false" customHeight="false" outlineLevel="0" collapsed="false">
      <c r="A35" s="47" t="s">
        <v>65</v>
      </c>
      <c r="B35" s="33" t="n">
        <f aca="false">'Financial Statements'!R93</f>
        <v>1284583.33333333</v>
      </c>
      <c r="C35" s="33" t="n">
        <f aca="false">'Financial Statements'!AD93</f>
        <v>2207083.33333333</v>
      </c>
      <c r="D35" s="34" t="n">
        <f aca="false">'Financial Statements'!AP93</f>
        <v>2705416.66666667</v>
      </c>
    </row>
    <row r="36" customFormat="false" ht="15" hidden="false" customHeight="false" outlineLevel="0" collapsed="false">
      <c r="A36" s="42"/>
      <c r="B36" s="33"/>
      <c r="C36" s="33"/>
      <c r="D36" s="34"/>
    </row>
    <row r="37" customFormat="false" ht="15" hidden="false" customHeight="false" outlineLevel="0" collapsed="false">
      <c r="A37" s="47" t="s">
        <v>66</v>
      </c>
      <c r="B37" s="33"/>
      <c r="C37" s="33"/>
      <c r="D37" s="34"/>
    </row>
    <row r="38" customFormat="false" ht="15" hidden="false" customHeight="false" outlineLevel="0" collapsed="false">
      <c r="A38" s="28" t="s">
        <v>67</v>
      </c>
      <c r="B38" s="29" t="n">
        <f aca="false">'Financial Statements'!R96</f>
        <v>500000</v>
      </c>
      <c r="C38" s="29" t="n">
        <f aca="false">'Financial Statements'!AD96</f>
        <v>500000</v>
      </c>
      <c r="D38" s="30" t="n">
        <f aca="false">'Financial Statements'!AP96</f>
        <v>500000</v>
      </c>
    </row>
    <row r="39" customFormat="false" ht="15" hidden="false" customHeight="false" outlineLevel="0" collapsed="false">
      <c r="A39" s="28" t="s">
        <v>68</v>
      </c>
      <c r="B39" s="29" t="n">
        <f aca="false">B11</f>
        <v>-32876.3470686667</v>
      </c>
      <c r="C39" s="29" t="n">
        <f aca="false">C11</f>
        <v>437342.018975308</v>
      </c>
      <c r="D39" s="30" t="n">
        <f aca="false">D11</f>
        <v>879639.02092733</v>
      </c>
    </row>
    <row r="40" customFormat="false" ht="15" hidden="false" customHeight="false" outlineLevel="0" collapsed="false">
      <c r="A40" s="28" t="s">
        <v>69</v>
      </c>
      <c r="B40" s="29"/>
      <c r="C40" s="29" t="n">
        <f aca="false">B39</f>
        <v>-32876.3470686667</v>
      </c>
      <c r="D40" s="30" t="n">
        <f aca="false">C39+C40</f>
        <v>404465.671906642</v>
      </c>
    </row>
    <row r="41" customFormat="false" ht="15" hidden="false" customHeight="false" outlineLevel="0" collapsed="false">
      <c r="A41" s="47" t="s">
        <v>70</v>
      </c>
      <c r="B41" s="33" t="n">
        <f aca="false">SUM(B38:B40)</f>
        <v>467123.652931333</v>
      </c>
      <c r="C41" s="33" t="n">
        <f aca="false">SUM(C38:C40)</f>
        <v>904465.671906642</v>
      </c>
      <c r="D41" s="34" t="n">
        <f aca="false">SUM(D38:D40)</f>
        <v>1784104.69283397</v>
      </c>
    </row>
    <row r="42" customFormat="false" ht="15" hidden="false" customHeight="false" outlineLevel="0" collapsed="false">
      <c r="A42" s="42"/>
      <c r="B42" s="33"/>
      <c r="C42" s="33"/>
      <c r="D42" s="34"/>
    </row>
    <row r="43" customFormat="false" ht="15" hidden="false" customHeight="false" outlineLevel="0" collapsed="false">
      <c r="A43" s="48" t="s">
        <v>71</v>
      </c>
      <c r="B43" s="49" t="n">
        <f aca="false">SUM(B35,B41)</f>
        <v>1751706.98626467</v>
      </c>
      <c r="C43" s="49" t="n">
        <f aca="false">SUM(C35,C41)</f>
        <v>3111549.00523998</v>
      </c>
      <c r="D43" s="50" t="n">
        <f aca="false">SUM(D35,D41)</f>
        <v>4489521.35950064</v>
      </c>
    </row>
  </sheetData>
  <mergeCells count="3">
    <mergeCell ref="A2:D2"/>
    <mergeCell ref="A14:D14"/>
    <mergeCell ref="A23:D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6"/>
  <sheetViews>
    <sheetView showFormulas="false" showGridLines="fals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G9" activeCellId="0" sqref="G9"/>
    </sheetView>
  </sheetViews>
  <sheetFormatPr defaultColWidth="8.796875" defaultRowHeight="18" zeroHeight="false" outlineLevelRow="0" outlineLevelCol="0"/>
  <cols>
    <col collapsed="false" customWidth="true" hidden="false" outlineLevel="0" max="1" min="1" style="51" width="128.26"/>
    <col collapsed="false" customWidth="true" hidden="false" outlineLevel="0" max="2" min="2" style="51" width="6.39"/>
    <col collapsed="false" customWidth="true" hidden="false" outlineLevel="0" max="3" min="3" style="51" width="10.47"/>
    <col collapsed="false" customWidth="true" hidden="false" outlineLevel="0" max="4" min="4" style="51" width="9.6"/>
    <col collapsed="false" customWidth="true" hidden="false" outlineLevel="0" max="5" min="5" style="51" width="53.86"/>
    <col collapsed="false" customWidth="true" hidden="false" outlineLevel="0" max="6" min="6" style="51" width="6.2"/>
    <col collapsed="false" customWidth="true" hidden="false" outlineLevel="0" max="7" min="7" style="51" width="14.79"/>
    <col collapsed="false" customWidth="true" hidden="false" outlineLevel="0" max="8" min="8" style="51" width="16.47"/>
    <col collapsed="false" customWidth="true" hidden="false" outlineLevel="0" max="9" min="9" style="51" width="19"/>
    <col collapsed="false" customWidth="true" hidden="false" outlineLevel="0" max="10" min="10" style="51" width="16.47"/>
    <col collapsed="false" customWidth="true" hidden="false" outlineLevel="0" max="11" min="11" style="51" width="15.79"/>
    <col collapsed="false" customWidth="true" hidden="false" outlineLevel="0" max="12" min="12" style="51" width="13.4"/>
    <col collapsed="false" customWidth="true" hidden="false" outlineLevel="0" max="14" min="13" style="51" width="14.79"/>
    <col collapsed="false" customWidth="false" hidden="false" outlineLevel="0" max="16384" min="15" style="51" width="8.8"/>
  </cols>
  <sheetData>
    <row r="1" customFormat="false" ht="18.75" hidden="false" customHeight="true" outlineLevel="0" collapsed="false">
      <c r="G1" s="52" t="s">
        <v>72</v>
      </c>
      <c r="H1" s="52"/>
      <c r="I1" s="52"/>
      <c r="J1" s="52"/>
      <c r="K1" s="52"/>
    </row>
    <row r="2" customFormat="false" ht="33" hidden="false" customHeight="true" outlineLevel="0" collapsed="false">
      <c r="A2" s="52" t="s">
        <v>73</v>
      </c>
      <c r="C2" s="52" t="s">
        <v>74</v>
      </c>
      <c r="D2" s="52"/>
      <c r="E2" s="52"/>
      <c r="G2" s="53" t="s">
        <v>7</v>
      </c>
      <c r="H2" s="52" t="s">
        <v>75</v>
      </c>
      <c r="I2" s="52" t="s">
        <v>76</v>
      </c>
      <c r="J2" s="52" t="s">
        <v>77</v>
      </c>
      <c r="K2" s="52" t="s">
        <v>78</v>
      </c>
    </row>
    <row r="3" customFormat="false" ht="26.25" hidden="false" customHeight="true" outlineLevel="0" collapsed="false">
      <c r="A3" s="54" t="s">
        <v>79</v>
      </c>
      <c r="C3" s="52" t="s">
        <v>80</v>
      </c>
      <c r="D3" s="52" t="s">
        <v>81</v>
      </c>
      <c r="E3" s="52" t="s">
        <v>82</v>
      </c>
      <c r="G3" s="55" t="s">
        <v>83</v>
      </c>
      <c r="H3" s="56" t="n">
        <v>0.0283</v>
      </c>
      <c r="I3" s="56" t="n">
        <v>0.035</v>
      </c>
      <c r="J3" s="57" t="n">
        <v>0.06</v>
      </c>
      <c r="K3" s="57" t="n">
        <v>0.05</v>
      </c>
    </row>
    <row r="4" customFormat="false" ht="18.75" hidden="false" customHeight="true" outlineLevel="0" collapsed="false">
      <c r="A4" s="58" t="s">
        <v>84</v>
      </c>
      <c r="C4" s="59" t="s">
        <v>85</v>
      </c>
      <c r="D4" s="60" t="n">
        <v>1.2</v>
      </c>
      <c r="E4" s="61" t="s">
        <v>86</v>
      </c>
      <c r="G4" s="55" t="s">
        <v>21</v>
      </c>
      <c r="H4" s="56" t="n">
        <v>0.0242</v>
      </c>
      <c r="I4" s="56" t="n">
        <v>0.03</v>
      </c>
      <c r="J4" s="57" t="n">
        <v>0.07</v>
      </c>
      <c r="K4" s="57" t="n">
        <v>0.06</v>
      </c>
    </row>
    <row r="5" customFormat="false" ht="18.75" hidden="false" customHeight="true" outlineLevel="0" collapsed="false">
      <c r="A5" s="62"/>
      <c r="C5" s="59" t="s">
        <v>87</v>
      </c>
      <c r="D5" s="60" t="n">
        <v>1.1</v>
      </c>
      <c r="E5" s="63" t="s">
        <v>88</v>
      </c>
      <c r="G5" s="55" t="s">
        <v>23</v>
      </c>
      <c r="H5" s="56" t="n">
        <v>0.0326</v>
      </c>
      <c r="I5" s="56" t="n">
        <v>0.025</v>
      </c>
      <c r="J5" s="57" t="n">
        <v>0.05</v>
      </c>
      <c r="K5" s="57" t="n">
        <v>0.05</v>
      </c>
    </row>
    <row r="6" customFormat="false" ht="18.75" hidden="false" customHeight="true" outlineLevel="0" collapsed="false">
      <c r="C6" s="59" t="s">
        <v>89</v>
      </c>
      <c r="D6" s="60" t="n">
        <v>1.1</v>
      </c>
      <c r="E6" s="61" t="s">
        <v>90</v>
      </c>
      <c r="G6" s="55" t="s">
        <v>27</v>
      </c>
      <c r="H6" s="56" t="n">
        <v>0.005025111</v>
      </c>
      <c r="I6" s="57" t="n">
        <v>0.025</v>
      </c>
      <c r="J6" s="57" t="n">
        <v>0.075</v>
      </c>
      <c r="K6" s="56" t="n">
        <v>0.085</v>
      </c>
    </row>
    <row r="7" customFormat="false" ht="18.75" hidden="false" customHeight="true" outlineLevel="0" collapsed="false">
      <c r="A7" s="52" t="s">
        <v>21</v>
      </c>
      <c r="C7" s="59" t="s">
        <v>91</v>
      </c>
      <c r="D7" s="60" t="n">
        <v>0.9</v>
      </c>
      <c r="E7" s="61" t="s">
        <v>92</v>
      </c>
      <c r="G7" s="55" t="s">
        <v>29</v>
      </c>
      <c r="H7" s="56" t="n">
        <v>0.045245768</v>
      </c>
      <c r="I7" s="57" t="n">
        <v>0.042</v>
      </c>
      <c r="J7" s="57" t="n">
        <v>0.049</v>
      </c>
      <c r="K7" s="56" t="n">
        <v>0.0585</v>
      </c>
    </row>
    <row r="8" customFormat="false" ht="18.75" hidden="false" customHeight="true" outlineLevel="0" collapsed="false">
      <c r="A8" s="64" t="s">
        <v>93</v>
      </c>
      <c r="C8" s="59" t="s">
        <v>94</v>
      </c>
      <c r="D8" s="60" t="n">
        <v>0.8</v>
      </c>
      <c r="E8" s="61" t="s">
        <v>95</v>
      </c>
      <c r="G8" s="55" t="s">
        <v>31</v>
      </c>
      <c r="H8" s="56" t="n">
        <v>0.015558348</v>
      </c>
      <c r="I8" s="57" t="n">
        <v>0.032</v>
      </c>
      <c r="J8" s="57" t="n">
        <v>0.048</v>
      </c>
      <c r="K8" s="56" t="n">
        <v>0.0579</v>
      </c>
    </row>
    <row r="9" customFormat="false" ht="18.75" hidden="false" customHeight="true" outlineLevel="0" collapsed="false">
      <c r="A9" s="54" t="s">
        <v>96</v>
      </c>
      <c r="C9" s="59" t="s">
        <v>97</v>
      </c>
      <c r="D9" s="60" t="n">
        <v>0.75</v>
      </c>
      <c r="E9" s="61" t="s">
        <v>98</v>
      </c>
      <c r="G9" s="55" t="s">
        <v>33</v>
      </c>
      <c r="H9" s="56" t="n">
        <v>0.0474</v>
      </c>
      <c r="I9" s="57" t="n">
        <v>0.04</v>
      </c>
      <c r="J9" s="57" t="n">
        <v>0.1208</v>
      </c>
      <c r="K9" s="56" t="n">
        <v>0.148</v>
      </c>
    </row>
    <row r="10" customFormat="false" ht="18.75" hidden="false" customHeight="true" outlineLevel="0" collapsed="false">
      <c r="A10" s="54" t="s">
        <v>99</v>
      </c>
      <c r="C10" s="59" t="s">
        <v>100</v>
      </c>
      <c r="D10" s="60" t="n">
        <v>0.7</v>
      </c>
      <c r="E10" s="61" t="s">
        <v>101</v>
      </c>
    </row>
    <row r="11" customFormat="false" ht="29.25" hidden="false" customHeight="true" outlineLevel="0" collapsed="false">
      <c r="A11" s="54" t="s">
        <v>102</v>
      </c>
      <c r="C11" s="65" t="s">
        <v>103</v>
      </c>
      <c r="D11" s="60" t="n">
        <v>0.75</v>
      </c>
      <c r="E11" s="61" t="s">
        <v>104</v>
      </c>
    </row>
    <row r="12" customFormat="false" ht="18.75" hidden="false" customHeight="true" outlineLevel="0" collapsed="false">
      <c r="A12" s="58" t="s">
        <v>105</v>
      </c>
      <c r="C12" s="59" t="s">
        <v>106</v>
      </c>
      <c r="D12" s="60" t="n">
        <v>1</v>
      </c>
      <c r="E12" s="61" t="s">
        <v>107</v>
      </c>
    </row>
    <row r="13" customFormat="false" ht="18.75" hidden="false" customHeight="true" outlineLevel="0" collapsed="false">
      <c r="A13" s="62"/>
      <c r="C13" s="59" t="s">
        <v>108</v>
      </c>
      <c r="D13" s="60" t="n">
        <v>1.1</v>
      </c>
      <c r="E13" s="61" t="s">
        <v>109</v>
      </c>
      <c r="H13" s="52" t="s">
        <v>110</v>
      </c>
      <c r="I13" s="52" t="s">
        <v>111</v>
      </c>
      <c r="J13" s="52" t="s">
        <v>112</v>
      </c>
      <c r="K13" s="52" t="s">
        <v>113</v>
      </c>
      <c r="L13" s="52" t="s">
        <v>114</v>
      </c>
    </row>
    <row r="14" customFormat="false" ht="18.75" hidden="false" customHeight="true" outlineLevel="0" collapsed="false">
      <c r="C14" s="59" t="s">
        <v>115</v>
      </c>
      <c r="D14" s="60" t="n">
        <v>1.2</v>
      </c>
      <c r="E14" s="61" t="s">
        <v>116</v>
      </c>
      <c r="G14" s="53" t="s">
        <v>83</v>
      </c>
      <c r="H14" s="66" t="n">
        <v>1</v>
      </c>
      <c r="I14" s="67" t="n">
        <v>104036</v>
      </c>
      <c r="J14" s="68" t="n">
        <f aca="false">I14*(1+VLOOKUP($G14,$G$1:$K$9,5,0))</f>
        <v>109237.8</v>
      </c>
      <c r="K14" s="68" t="n">
        <f aca="false">J14*(1+VLOOKUP($G14,$G$1:$K$9,5,0))</f>
        <v>114699.69</v>
      </c>
      <c r="L14" s="68" t="n">
        <f aca="false">K14*(1+VLOOKUP($G14,$G$1:$K$9,5,0))</f>
        <v>120434.6745</v>
      </c>
    </row>
    <row r="15" customFormat="false" ht="18.75" hidden="false" customHeight="true" outlineLevel="0" collapsed="false">
      <c r="A15" s="52" t="s">
        <v>117</v>
      </c>
      <c r="C15" s="59" t="s">
        <v>118</v>
      </c>
      <c r="D15" s="60" t="n">
        <v>1.3</v>
      </c>
      <c r="E15" s="61" t="s">
        <v>119</v>
      </c>
      <c r="G15" s="53" t="s">
        <v>21</v>
      </c>
      <c r="H15" s="66" t="n">
        <v>1.25</v>
      </c>
      <c r="I15" s="68" t="n">
        <f aca="false">$I$14*H15</f>
        <v>130045</v>
      </c>
      <c r="J15" s="68" t="n">
        <f aca="false">I15*(1+VLOOKUP($G15,$G$1:$K$9,5,0))</f>
        <v>137847.7</v>
      </c>
      <c r="K15" s="68" t="n">
        <f aca="false">J15*(1+VLOOKUP($G15,$G$1:$K$9,5,0))</f>
        <v>146118.562</v>
      </c>
      <c r="L15" s="68" t="n">
        <f aca="false">K15*(1+VLOOKUP($G15,$G$1:$K$9,5,0))</f>
        <v>154885.67572</v>
      </c>
    </row>
    <row r="16" customFormat="false" ht="18.75" hidden="false" customHeight="true" outlineLevel="0" collapsed="false">
      <c r="A16" s="64" t="s">
        <v>120</v>
      </c>
      <c r="G16" s="53" t="s">
        <v>23</v>
      </c>
      <c r="H16" s="66" t="n">
        <v>1.35</v>
      </c>
      <c r="I16" s="68" t="n">
        <f aca="false">$I$14*H16</f>
        <v>140448.6</v>
      </c>
      <c r="J16" s="68" t="n">
        <f aca="false">I16*(1+VLOOKUP($G16,$G$1:$K$9,5,0))</f>
        <v>147471.03</v>
      </c>
      <c r="K16" s="68" t="n">
        <f aca="false">J16*(1+VLOOKUP($G16,$G$1:$K$9,5,0))</f>
        <v>154844.5815</v>
      </c>
      <c r="L16" s="68" t="n">
        <f aca="false">K16*(1+VLOOKUP($G16,$G$1:$K$9,5,0))</f>
        <v>162586.810575</v>
      </c>
    </row>
    <row r="17" customFormat="false" ht="18.75" hidden="false" customHeight="true" outlineLevel="0" collapsed="false">
      <c r="A17" s="54" t="s">
        <v>121</v>
      </c>
      <c r="C17" s="52" t="s">
        <v>122</v>
      </c>
      <c r="D17" s="52"/>
      <c r="E17" s="52"/>
      <c r="G17" s="53" t="s">
        <v>27</v>
      </c>
      <c r="H17" s="66" t="n">
        <v>1.1</v>
      </c>
      <c r="I17" s="68" t="n">
        <f aca="false">$I$14*H17</f>
        <v>114439.6</v>
      </c>
      <c r="J17" s="68" t="n">
        <f aca="false">I17*(1+VLOOKUP($G17,$G$1:$K$9,5,0))</f>
        <v>124166.966</v>
      </c>
      <c r="K17" s="68" t="n">
        <f aca="false">J17*(1+VLOOKUP($G17,$G$1:$K$9,5,0))</f>
        <v>134721.15811</v>
      </c>
      <c r="L17" s="68" t="n">
        <f aca="false">K17*(1+VLOOKUP($G17,$G$1:$K$9,5,0))</f>
        <v>146172.45654935</v>
      </c>
    </row>
    <row r="18" customFormat="false" ht="18.75" hidden="false" customHeight="true" outlineLevel="0" collapsed="false">
      <c r="A18" s="54" t="s">
        <v>123</v>
      </c>
      <c r="C18" s="52" t="s">
        <v>80</v>
      </c>
      <c r="D18" s="52" t="s">
        <v>81</v>
      </c>
      <c r="E18" s="52" t="s">
        <v>82</v>
      </c>
      <c r="G18" s="53" t="s">
        <v>29</v>
      </c>
      <c r="H18" s="66" t="n">
        <v>1.05</v>
      </c>
      <c r="I18" s="68" t="n">
        <f aca="false">$I$14*H18</f>
        <v>109237.8</v>
      </c>
      <c r="J18" s="68" t="n">
        <f aca="false">I18*(1+VLOOKUP($G18,$G$1:$K$9,5,0))</f>
        <v>115628.2113</v>
      </c>
      <c r="K18" s="68" t="n">
        <f aca="false">J18*(1+VLOOKUP($G18,$G$1:$K$9,5,0))</f>
        <v>122392.46166105</v>
      </c>
      <c r="L18" s="68" t="n">
        <f aca="false">K18*(1+VLOOKUP($G18,$G$1:$K$9,5,0))</f>
        <v>129552.420668221</v>
      </c>
    </row>
    <row r="19" customFormat="false" ht="18.75" hidden="false" customHeight="true" outlineLevel="0" collapsed="false">
      <c r="A19" s="54" t="s">
        <v>124</v>
      </c>
      <c r="C19" s="59" t="s">
        <v>85</v>
      </c>
      <c r="D19" s="60" t="n">
        <v>1.1</v>
      </c>
      <c r="E19" s="61" t="s">
        <v>125</v>
      </c>
      <c r="G19" s="53" t="s">
        <v>31</v>
      </c>
      <c r="H19" s="66" t="n">
        <v>0.95</v>
      </c>
      <c r="I19" s="68" t="n">
        <f aca="false">$I$14*H19</f>
        <v>98834.2</v>
      </c>
      <c r="J19" s="68" t="n">
        <f aca="false">I19*(1+VLOOKUP($G19,$G$1:$K$9,5,0))</f>
        <v>104556.70018</v>
      </c>
      <c r="K19" s="68" t="n">
        <f aca="false">J19*(1+VLOOKUP($G19,$G$1:$K$9,5,0))</f>
        <v>110610.533120422</v>
      </c>
      <c r="L19" s="68" t="n">
        <f aca="false">K19*(1+VLOOKUP($G19,$G$1:$K$9,5,0))</f>
        <v>117014.882988094</v>
      </c>
    </row>
    <row r="20" customFormat="false" ht="18.75" hidden="false" customHeight="true" outlineLevel="0" collapsed="false">
      <c r="A20" s="58" t="s">
        <v>126</v>
      </c>
      <c r="C20" s="59" t="s">
        <v>87</v>
      </c>
      <c r="D20" s="60" t="n">
        <v>1</v>
      </c>
      <c r="E20" s="63" t="s">
        <v>127</v>
      </c>
      <c r="G20" s="53" t="s">
        <v>33</v>
      </c>
      <c r="H20" s="66" t="n">
        <v>0.9</v>
      </c>
      <c r="I20" s="68" t="n">
        <f aca="false">$I$14*H20</f>
        <v>93632.4</v>
      </c>
      <c r="J20" s="68" t="n">
        <f aca="false">I20*(1+VLOOKUP($G20,$G$1:$K$9,5,0))</f>
        <v>107489.9952</v>
      </c>
      <c r="K20" s="68" t="n">
        <f aca="false">J20*(1+VLOOKUP($G20,$G$1:$K$9,5,0))</f>
        <v>123398.5144896</v>
      </c>
      <c r="L20" s="68" t="n">
        <f aca="false">K20*(1+VLOOKUP($G20,$G$1:$K$9,5,0))</f>
        <v>141661.494634061</v>
      </c>
    </row>
    <row r="21" customFormat="false" ht="18.75" hidden="false" customHeight="true" outlineLevel="0" collapsed="false">
      <c r="A21" s="62"/>
      <c r="C21" s="59" t="s">
        <v>89</v>
      </c>
      <c r="D21" s="60" t="n">
        <v>1.1</v>
      </c>
      <c r="E21" s="61" t="s">
        <v>128</v>
      </c>
    </row>
    <row r="22" customFormat="false" ht="18.75" hidden="false" customHeight="true" outlineLevel="0" collapsed="false">
      <c r="C22" s="59" t="s">
        <v>91</v>
      </c>
      <c r="D22" s="60" t="n">
        <v>1.2</v>
      </c>
      <c r="E22" s="61" t="s">
        <v>129</v>
      </c>
    </row>
    <row r="23" customFormat="false" ht="18.75" hidden="false" customHeight="true" outlineLevel="0" collapsed="false">
      <c r="A23" s="52" t="s">
        <v>27</v>
      </c>
      <c r="C23" s="59" t="s">
        <v>94</v>
      </c>
      <c r="D23" s="60" t="n">
        <v>1.1</v>
      </c>
      <c r="E23" s="61" t="s">
        <v>130</v>
      </c>
    </row>
    <row r="24" customFormat="false" ht="18.75" hidden="false" customHeight="true" outlineLevel="0" collapsed="false">
      <c r="A24" s="64" t="s">
        <v>131</v>
      </c>
      <c r="C24" s="59" t="s">
        <v>97</v>
      </c>
      <c r="D24" s="60" t="n">
        <v>1</v>
      </c>
      <c r="E24" s="61" t="s">
        <v>132</v>
      </c>
    </row>
    <row r="25" customFormat="false" ht="27" hidden="false" customHeight="true" outlineLevel="0" collapsed="false">
      <c r="A25" s="54" t="s">
        <v>133</v>
      </c>
      <c r="C25" s="59" t="s">
        <v>100</v>
      </c>
      <c r="D25" s="60" t="n">
        <v>0.9</v>
      </c>
      <c r="E25" s="61" t="s">
        <v>134</v>
      </c>
    </row>
    <row r="26" customFormat="false" ht="18.75" hidden="false" customHeight="true" outlineLevel="0" collapsed="false">
      <c r="A26" s="54" t="s">
        <v>135</v>
      </c>
      <c r="C26" s="65" t="s">
        <v>103</v>
      </c>
      <c r="D26" s="60" t="n">
        <v>0.9</v>
      </c>
      <c r="E26" s="61" t="s">
        <v>136</v>
      </c>
    </row>
    <row r="27" customFormat="false" ht="18.75" hidden="false" customHeight="true" outlineLevel="0" collapsed="false">
      <c r="A27" s="54" t="s">
        <v>137</v>
      </c>
      <c r="C27" s="59" t="s">
        <v>106</v>
      </c>
      <c r="D27" s="60" t="n">
        <v>1.1</v>
      </c>
      <c r="E27" s="61" t="s">
        <v>138</v>
      </c>
    </row>
    <row r="28" customFormat="false" ht="18.75" hidden="false" customHeight="true" outlineLevel="0" collapsed="false">
      <c r="A28" s="58" t="s">
        <v>139</v>
      </c>
      <c r="C28" s="59" t="s">
        <v>108</v>
      </c>
      <c r="D28" s="60" t="n">
        <v>1.2</v>
      </c>
      <c r="E28" s="61" t="s">
        <v>140</v>
      </c>
    </row>
    <row r="29" customFormat="false" ht="18.75" hidden="false" customHeight="true" outlineLevel="0" collapsed="false">
      <c r="A29" s="62"/>
      <c r="C29" s="59" t="s">
        <v>115</v>
      </c>
      <c r="D29" s="60" t="n">
        <v>1</v>
      </c>
      <c r="E29" s="61" t="s">
        <v>141</v>
      </c>
    </row>
    <row r="30" customFormat="false" ht="29.25" hidden="false" customHeight="true" outlineLevel="0" collapsed="false">
      <c r="A30" s="62"/>
      <c r="C30" s="59" t="s">
        <v>118</v>
      </c>
      <c r="D30" s="60" t="n">
        <v>1.2</v>
      </c>
      <c r="E30" s="61" t="s">
        <v>142</v>
      </c>
    </row>
    <row r="31" customFormat="false" ht="18.75" hidden="false" customHeight="true" outlineLevel="0" collapsed="false">
      <c r="A31" s="62"/>
    </row>
    <row r="32" customFormat="false" ht="18.75" hidden="false" customHeight="true" outlineLevel="0" collapsed="false">
      <c r="A32" s="62"/>
    </row>
    <row r="33" customFormat="false" ht="18.75" hidden="false" customHeight="true" outlineLevel="0" collapsed="false">
      <c r="A33" s="62"/>
    </row>
    <row r="34" customFormat="false" ht="18.75" hidden="false" customHeight="true" outlineLevel="0" collapsed="false"/>
    <row r="35" customFormat="false" ht="18.75" hidden="false" customHeight="true" outlineLevel="0" collapsed="false">
      <c r="A35" s="52" t="s">
        <v>29</v>
      </c>
    </row>
    <row r="36" customFormat="false" ht="18.75" hidden="false" customHeight="true" outlineLevel="0" collapsed="false">
      <c r="A36" s="64" t="s">
        <v>143</v>
      </c>
    </row>
    <row r="37" customFormat="false" ht="18.75" hidden="false" customHeight="true" outlineLevel="0" collapsed="false">
      <c r="A37" s="54" t="s">
        <v>144</v>
      </c>
    </row>
    <row r="38" customFormat="false" ht="18.75" hidden="false" customHeight="true" outlineLevel="0" collapsed="false">
      <c r="A38" s="54" t="s">
        <v>145</v>
      </c>
    </row>
    <row r="39" customFormat="false" ht="18.75" hidden="false" customHeight="true" outlineLevel="0" collapsed="false">
      <c r="A39" s="54" t="s">
        <v>146</v>
      </c>
    </row>
    <row r="40" customFormat="false" ht="18.75" hidden="false" customHeight="true" outlineLevel="0" collapsed="false">
      <c r="A40" s="58" t="s">
        <v>147</v>
      </c>
    </row>
    <row r="41" customFormat="false" ht="18.75" hidden="false" customHeight="true" outlineLevel="0" collapsed="false">
      <c r="A41" s="62"/>
    </row>
    <row r="42" customFormat="false" ht="18.75" hidden="false" customHeight="true" outlineLevel="0" collapsed="false"/>
    <row r="43" customFormat="false" ht="18.75" hidden="false" customHeight="true" outlineLevel="0" collapsed="false">
      <c r="A43" s="52" t="s">
        <v>31</v>
      </c>
    </row>
    <row r="44" customFormat="false" ht="18.75" hidden="false" customHeight="true" outlineLevel="0" collapsed="false">
      <c r="A44" s="64" t="s">
        <v>148</v>
      </c>
    </row>
    <row r="45" customFormat="false" ht="18.75" hidden="false" customHeight="true" outlineLevel="0" collapsed="false">
      <c r="A45" s="54" t="s">
        <v>149</v>
      </c>
    </row>
    <row r="46" customFormat="false" ht="18.75" hidden="false" customHeight="true" outlineLevel="0" collapsed="false">
      <c r="A46" s="54" t="s">
        <v>150</v>
      </c>
    </row>
    <row r="47" customFormat="false" ht="18.75" hidden="false" customHeight="true" outlineLevel="0" collapsed="false">
      <c r="A47" s="54" t="s">
        <v>151</v>
      </c>
    </row>
    <row r="48" customFormat="false" ht="18.75" hidden="false" customHeight="true" outlineLevel="0" collapsed="false">
      <c r="A48" s="58" t="s">
        <v>152</v>
      </c>
    </row>
    <row r="49" customFormat="false" ht="18.75" hidden="false" customHeight="true" outlineLevel="0" collapsed="false">
      <c r="A49" s="62"/>
    </row>
    <row r="50" customFormat="false" ht="18.75" hidden="false" customHeight="true" outlineLevel="0" collapsed="false"/>
    <row r="51" customFormat="false" ht="18.75" hidden="false" customHeight="true" outlineLevel="0" collapsed="false">
      <c r="A51" s="52" t="s">
        <v>33</v>
      </c>
    </row>
    <row r="52" customFormat="false" ht="18.75" hidden="false" customHeight="true" outlineLevel="0" collapsed="false">
      <c r="A52" s="64" t="s">
        <v>153</v>
      </c>
    </row>
    <row r="53" customFormat="false" ht="18.75" hidden="false" customHeight="true" outlineLevel="0" collapsed="false">
      <c r="A53" s="54" t="s">
        <v>154</v>
      </c>
    </row>
    <row r="54" customFormat="false" ht="18.75" hidden="false" customHeight="true" outlineLevel="0" collapsed="false">
      <c r="A54" s="54" t="s">
        <v>155</v>
      </c>
    </row>
    <row r="55" customFormat="false" ht="12.75" hidden="false" customHeight="true" outlineLevel="0" collapsed="false">
      <c r="A55" s="54" t="s">
        <v>156</v>
      </c>
    </row>
    <row r="56" customFormat="false" ht="32.25" hidden="false" customHeight="true" outlineLevel="0" collapsed="false">
      <c r="A56" s="58" t="s">
        <v>157</v>
      </c>
    </row>
  </sheetData>
  <mergeCells count="3">
    <mergeCell ref="G1:K1"/>
    <mergeCell ref="C2:E2"/>
    <mergeCell ref="C17:E17"/>
  </mergeCells>
  <printOptions headings="false" gridLines="false" gridLinesSet="true" horizontalCentered="false" verticalCentered="false"/>
  <pageMargins left="0.359722222222222" right="0.245833333333333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352"/>
  <sheetViews>
    <sheetView showFormulas="false" showGridLines="false" showRowColHeaders="true" showZeros="true" rightToLeft="false" tabSelected="false" showOutlineSymbols="true" defaultGridColor="true" view="normal" topLeftCell="A28" colorId="64" zoomScale="70" zoomScaleNormal="70" zoomScalePageLayoutView="100" workbookViewId="0">
      <selection pane="topLeft" activeCell="G46" activeCellId="0" sqref="G46"/>
    </sheetView>
  </sheetViews>
  <sheetFormatPr defaultColWidth="8.796875" defaultRowHeight="13.5" zeroHeight="false" outlineLevelRow="0" outlineLevelCol="0"/>
  <cols>
    <col collapsed="false" customWidth="true" hidden="false" outlineLevel="0" max="1" min="1" style="69" width="1.26"/>
    <col collapsed="false" customWidth="true" hidden="false" outlineLevel="0" max="3" min="2" style="70" width="28.07"/>
    <col collapsed="false" customWidth="true" hidden="false" outlineLevel="0" max="4" min="4" style="71" width="26.67"/>
    <col collapsed="false" customWidth="true" hidden="false" outlineLevel="0" max="5" min="5" style="69" width="1.67"/>
    <col collapsed="false" customWidth="true" hidden="false" outlineLevel="0" max="6" min="6" style="69" width="48"/>
    <col collapsed="false" customWidth="true" hidden="false" outlineLevel="0" max="7" min="7" style="72" width="11"/>
    <col collapsed="false" customWidth="true" hidden="false" outlineLevel="0" max="8" min="8" style="72" width="13.4"/>
    <col collapsed="false" customWidth="true" hidden="false" outlineLevel="0" max="42" min="9" style="72" width="11"/>
    <col collapsed="false" customWidth="false" hidden="false" outlineLevel="0" max="16384" min="43" style="72" width="8.8"/>
  </cols>
  <sheetData>
    <row r="1" customFormat="false" ht="13.5" hidden="false" customHeight="false" outlineLevel="0" collapsed="false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</row>
    <row r="2" customFormat="false" ht="13.5" hidden="false" customHeight="false" outlineLevel="0" collapsed="false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</row>
    <row r="3" customFormat="false" ht="13.5" hidden="false" customHeight="false" outlineLevel="0" collapsed="false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</row>
    <row r="4" customFormat="false" ht="13.5" hidden="false" customHeight="false" outlineLevel="0" collapsed="false">
      <c r="B4" s="69"/>
      <c r="C4" s="69"/>
      <c r="D4" s="69"/>
    </row>
    <row r="5" customFormat="false" ht="19.5" hidden="false" customHeight="true" outlineLevel="0" collapsed="false">
      <c r="B5" s="74" t="s">
        <v>158</v>
      </c>
      <c r="C5" s="74"/>
      <c r="D5" s="75"/>
      <c r="E5" s="75"/>
      <c r="F5" s="75"/>
    </row>
    <row r="6" s="72" customFormat="true" ht="13.5" hidden="false" customHeight="false" outlineLevel="0" collapsed="false">
      <c r="B6" s="76" t="s">
        <v>159</v>
      </c>
      <c r="C6" s="76"/>
    </row>
    <row r="7" s="72" customFormat="true" ht="13.5" hidden="false" customHeight="false" outlineLevel="0" collapsed="false">
      <c r="G7" s="72" t="n">
        <f aca="false">COUNTA($G$8:G8)</f>
        <v>1</v>
      </c>
      <c r="H7" s="72" t="n">
        <f aca="false">COUNTA($G$8:H8)</f>
        <v>2</v>
      </c>
      <c r="I7" s="72" t="n">
        <f aca="false">COUNTA($G$8:I8)</f>
        <v>3</v>
      </c>
      <c r="J7" s="72" t="n">
        <f aca="false">COUNTA($G$8:J8)</f>
        <v>4</v>
      </c>
      <c r="K7" s="72" t="n">
        <f aca="false">COUNTA($G$8:K8)</f>
        <v>5</v>
      </c>
      <c r="L7" s="72" t="n">
        <f aca="false">COUNTA($G$8:L8)</f>
        <v>6</v>
      </c>
      <c r="M7" s="72" t="n">
        <f aca="false">COUNTA($G$8:M8)</f>
        <v>7</v>
      </c>
      <c r="N7" s="72" t="n">
        <f aca="false">COUNTA($G$8:N8)</f>
        <v>8</v>
      </c>
      <c r="O7" s="72" t="n">
        <f aca="false">COUNTA($G$8:O8)</f>
        <v>9</v>
      </c>
      <c r="P7" s="72" t="n">
        <f aca="false">COUNTA($G$8:P8)</f>
        <v>10</v>
      </c>
      <c r="Q7" s="72" t="n">
        <f aca="false">COUNTA($G$8:Q8)</f>
        <v>11</v>
      </c>
      <c r="R7" s="72" t="n">
        <f aca="false">COUNTA($G$8:R8)</f>
        <v>12</v>
      </c>
      <c r="S7" s="72" t="n">
        <f aca="false">COUNTA($G$8:S8)</f>
        <v>13</v>
      </c>
      <c r="T7" s="72" t="n">
        <f aca="false">COUNTA($G$8:T8)</f>
        <v>14</v>
      </c>
      <c r="U7" s="72" t="n">
        <f aca="false">COUNTA($G$8:U8)</f>
        <v>15</v>
      </c>
      <c r="V7" s="72" t="n">
        <f aca="false">COUNTA($G$8:V8)</f>
        <v>16</v>
      </c>
      <c r="W7" s="72" t="n">
        <f aca="false">COUNTA($G$8:W8)</f>
        <v>17</v>
      </c>
      <c r="X7" s="72" t="n">
        <f aca="false">COUNTA($G$8:X8)</f>
        <v>18</v>
      </c>
      <c r="Y7" s="72" t="n">
        <f aca="false">COUNTA($G$8:Y8)</f>
        <v>19</v>
      </c>
      <c r="Z7" s="72" t="n">
        <f aca="false">COUNTA($G$8:Z8)</f>
        <v>20</v>
      </c>
      <c r="AA7" s="72" t="n">
        <f aca="false">COUNTA($G$8:AA8)</f>
        <v>21</v>
      </c>
      <c r="AB7" s="72" t="n">
        <f aca="false">COUNTA($G$8:AB8)</f>
        <v>22</v>
      </c>
      <c r="AC7" s="72" t="n">
        <f aca="false">COUNTA($G$8:AC8)</f>
        <v>23</v>
      </c>
      <c r="AD7" s="72" t="n">
        <f aca="false">COUNTA($G$8:AD8)</f>
        <v>24</v>
      </c>
      <c r="AE7" s="72" t="n">
        <f aca="false">COUNTA($G$8:AE8)</f>
        <v>25</v>
      </c>
      <c r="AF7" s="72" t="n">
        <f aca="false">COUNTA($G$8:AF8)</f>
        <v>26</v>
      </c>
      <c r="AG7" s="72" t="n">
        <f aca="false">COUNTA($G$8:AG8)</f>
        <v>27</v>
      </c>
      <c r="AH7" s="72" t="n">
        <f aca="false">COUNTA($G$8:AH8)</f>
        <v>28</v>
      </c>
      <c r="AI7" s="72" t="n">
        <f aca="false">COUNTA($G$8:AI8)</f>
        <v>29</v>
      </c>
      <c r="AJ7" s="72" t="n">
        <f aca="false">COUNTA($G$8:AJ8)</f>
        <v>30</v>
      </c>
      <c r="AK7" s="72" t="n">
        <f aca="false">COUNTA($G$8:AK8)</f>
        <v>31</v>
      </c>
      <c r="AL7" s="72" t="n">
        <f aca="false">COUNTA($G$8:AL8)</f>
        <v>32</v>
      </c>
      <c r="AM7" s="72" t="n">
        <f aca="false">COUNTA($G$8:AM8)</f>
        <v>33</v>
      </c>
      <c r="AN7" s="72" t="n">
        <f aca="false">COUNTA($G$8:AN8)</f>
        <v>34</v>
      </c>
      <c r="AO7" s="72" t="n">
        <f aca="false">COUNTA($G$8:AO8)</f>
        <v>35</v>
      </c>
      <c r="AP7" s="72" t="n">
        <f aca="false">COUNTA($G$8:AP8)</f>
        <v>36</v>
      </c>
    </row>
    <row r="8" s="72" customFormat="true" ht="13.5" hidden="false" customHeight="false" outlineLevel="0" collapsed="false">
      <c r="B8" s="77" t="s">
        <v>160</v>
      </c>
      <c r="C8" s="77"/>
      <c r="D8" s="78"/>
      <c r="E8" s="79"/>
      <c r="F8" s="80" t="s">
        <v>80</v>
      </c>
      <c r="G8" s="81" t="n">
        <v>45322</v>
      </c>
      <c r="H8" s="81" t="n">
        <v>45351</v>
      </c>
      <c r="I8" s="81" t="n">
        <v>45382</v>
      </c>
      <c r="J8" s="81" t="n">
        <v>45412</v>
      </c>
      <c r="K8" s="81" t="n">
        <v>45443</v>
      </c>
      <c r="L8" s="81" t="n">
        <v>45473</v>
      </c>
      <c r="M8" s="81" t="n">
        <v>45504</v>
      </c>
      <c r="N8" s="81" t="n">
        <v>45535</v>
      </c>
      <c r="O8" s="81" t="n">
        <v>45565</v>
      </c>
      <c r="P8" s="81" t="n">
        <v>45596</v>
      </c>
      <c r="Q8" s="81" t="n">
        <v>45626</v>
      </c>
      <c r="R8" s="81" t="n">
        <v>45657</v>
      </c>
      <c r="S8" s="81" t="n">
        <v>45688</v>
      </c>
      <c r="T8" s="81" t="n">
        <v>45716</v>
      </c>
      <c r="U8" s="81" t="n">
        <v>45747</v>
      </c>
      <c r="V8" s="81" t="n">
        <v>45777</v>
      </c>
      <c r="W8" s="81" t="n">
        <v>45808</v>
      </c>
      <c r="X8" s="81" t="n">
        <v>45838</v>
      </c>
      <c r="Y8" s="81" t="n">
        <v>45869</v>
      </c>
      <c r="Z8" s="81" t="n">
        <v>45900</v>
      </c>
      <c r="AA8" s="81" t="n">
        <v>45930</v>
      </c>
      <c r="AB8" s="81" t="n">
        <v>45961</v>
      </c>
      <c r="AC8" s="81" t="n">
        <v>45991</v>
      </c>
      <c r="AD8" s="81" t="n">
        <v>46022</v>
      </c>
      <c r="AE8" s="81" t="n">
        <v>46053</v>
      </c>
      <c r="AF8" s="81" t="n">
        <v>46081</v>
      </c>
      <c r="AG8" s="81" t="n">
        <v>46112</v>
      </c>
      <c r="AH8" s="81" t="n">
        <v>46142</v>
      </c>
      <c r="AI8" s="81" t="n">
        <v>46173</v>
      </c>
      <c r="AJ8" s="81" t="n">
        <v>46203</v>
      </c>
      <c r="AK8" s="81" t="n">
        <v>46234</v>
      </c>
      <c r="AL8" s="81" t="n">
        <v>46265</v>
      </c>
      <c r="AM8" s="81" t="n">
        <v>46295</v>
      </c>
      <c r="AN8" s="81" t="n">
        <v>46326</v>
      </c>
      <c r="AO8" s="81" t="n">
        <v>46356</v>
      </c>
      <c r="AP8" s="81" t="n">
        <v>46387</v>
      </c>
    </row>
    <row r="9" s="72" customFormat="true" ht="13.5" hidden="false" customHeight="false" outlineLevel="0" collapsed="false">
      <c r="B9" s="77"/>
      <c r="C9" s="77"/>
      <c r="D9" s="82" t="s">
        <v>161</v>
      </c>
      <c r="E9" s="79"/>
      <c r="F9" s="80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</row>
    <row r="10" s="72" customFormat="true" ht="13.5" hidden="false" customHeight="false" outlineLevel="0" collapsed="false">
      <c r="B10" s="77"/>
      <c r="C10" s="77"/>
      <c r="D10" s="78"/>
      <c r="E10" s="79"/>
      <c r="F10" s="79" t="s">
        <v>162</v>
      </c>
      <c r="G10" s="83" t="n">
        <f aca="false">COUNTIFS(Openings_Table[[Country]:[Country]],"Saudi_Arabia",Openings_Table[[Opening Date]:[Opening Date]],"&lt;"&amp;G$8)</f>
        <v>1</v>
      </c>
      <c r="H10" s="83" t="n">
        <f aca="false">COUNTIFS(Openings_Table[[Country]:[Country]],"Saudi_Arabia",Openings_Table[[Opening Date]:[Opening Date]],"&lt;"&amp;H$8)</f>
        <v>1</v>
      </c>
      <c r="I10" s="83" t="n">
        <f aca="false">COUNTIFS(Openings_Table[[Country]:[Country]],"Saudi_Arabia",Openings_Table[[Opening Date]:[Opening Date]],"&lt;"&amp;I$8)</f>
        <v>1</v>
      </c>
      <c r="J10" s="83" t="n">
        <f aca="false">COUNTIFS(Openings_Table[[Country]:[Country]],"Saudi_Arabia",Openings_Table[[Opening Date]:[Opening Date]],"&lt;"&amp;J$8)</f>
        <v>1</v>
      </c>
      <c r="K10" s="83" t="n">
        <f aca="false">COUNTIFS(Openings_Table[[Country]:[Country]],"Saudi_Arabia",Openings_Table[[Opening Date]:[Opening Date]],"&lt;"&amp;K$8)</f>
        <v>1</v>
      </c>
      <c r="L10" s="83" t="n">
        <f aca="false">COUNTIFS(Openings_Table[[Country]:[Country]],"Saudi_Arabia",Openings_Table[[Opening Date]:[Opening Date]],"&lt;"&amp;L$8)</f>
        <v>2</v>
      </c>
      <c r="M10" s="83" t="n">
        <f aca="false">COUNTIFS(Openings_Table[[Country]:[Country]],"Saudi_Arabia",Openings_Table[[Opening Date]:[Opening Date]],"&lt;"&amp;M$8)</f>
        <v>2</v>
      </c>
      <c r="N10" s="83" t="n">
        <f aca="false">COUNTIFS(Openings_Table[[Country]:[Country]],"Saudi_Arabia",Openings_Table[[Opening Date]:[Opening Date]],"&lt;"&amp;N$8)</f>
        <v>2</v>
      </c>
      <c r="O10" s="83" t="n">
        <f aca="false">COUNTIFS(Openings_Table[[Country]:[Country]],"Saudi_Arabia",Openings_Table[[Opening Date]:[Opening Date]],"&lt;"&amp;O$8)</f>
        <v>2</v>
      </c>
      <c r="P10" s="83" t="n">
        <f aca="false">COUNTIFS(Openings_Table[[Country]:[Country]],"Saudi_Arabia",Openings_Table[[Opening Date]:[Opening Date]],"&lt;"&amp;P$8)</f>
        <v>2</v>
      </c>
      <c r="Q10" s="83" t="n">
        <f aca="false">COUNTIFS(Openings_Table[[Country]:[Country]],"Saudi_Arabia",Openings_Table[[Opening Date]:[Opening Date]],"&lt;"&amp;Q$8)</f>
        <v>2</v>
      </c>
      <c r="R10" s="83" t="n">
        <f aca="false">COUNTIFS(Openings_Table[[Country]:[Country]],"Saudi_Arabia",Openings_Table[[Opening Date]:[Opening Date]],"&lt;"&amp;R$8)</f>
        <v>2</v>
      </c>
      <c r="S10" s="83" t="n">
        <f aca="false">COUNTIFS(Openings_Table[[Country]:[Country]],"Saudi_Arabia",Openings_Table[[Opening Date]:[Opening Date]],"&lt;"&amp;S$8)</f>
        <v>2</v>
      </c>
      <c r="T10" s="83" t="n">
        <f aca="false">COUNTIFS(Openings_Table[[Country]:[Country]],"Saudi_Arabia",Openings_Table[[Opening Date]:[Opening Date]],"&lt;"&amp;T$8)</f>
        <v>2</v>
      </c>
      <c r="U10" s="83" t="n">
        <f aca="false">COUNTIFS(Openings_Table[[Country]:[Country]],"Saudi_Arabia",Openings_Table[[Opening Date]:[Opening Date]],"&lt;"&amp;U$8)</f>
        <v>2</v>
      </c>
      <c r="V10" s="83" t="n">
        <f aca="false">COUNTIFS(Openings_Table[[Country]:[Country]],"Saudi_Arabia",Openings_Table[[Opening Date]:[Opening Date]],"&lt;"&amp;V$8)</f>
        <v>2</v>
      </c>
      <c r="W10" s="83" t="n">
        <f aca="false">COUNTIFS(Openings_Table[[Country]:[Country]],"Saudi_Arabia",Openings_Table[[Opening Date]:[Opening Date]],"&lt;"&amp;W$8)</f>
        <v>2</v>
      </c>
      <c r="X10" s="83" t="n">
        <f aca="false">COUNTIFS(Openings_Table[[Country]:[Country]],"Saudi_Arabia",Openings_Table[[Opening Date]:[Opening Date]],"&lt;"&amp;X$8)</f>
        <v>2</v>
      </c>
      <c r="Y10" s="83" t="n">
        <f aca="false">COUNTIFS(Openings_Table[[Country]:[Country]],"Saudi_Arabia",Openings_Table[[Opening Date]:[Opening Date]],"&lt;"&amp;Y$8)</f>
        <v>2</v>
      </c>
      <c r="Z10" s="83" t="n">
        <f aca="false">COUNTIFS(Openings_Table[[Country]:[Country]],"Saudi_Arabia",Openings_Table[[Opening Date]:[Opening Date]],"&lt;"&amp;Z$8)</f>
        <v>2</v>
      </c>
      <c r="AA10" s="83" t="n">
        <f aca="false">COUNTIFS(Openings_Table[[Country]:[Country]],"Saudi_Arabia",Openings_Table[[Opening Date]:[Opening Date]],"&lt;"&amp;AA$8)</f>
        <v>2</v>
      </c>
      <c r="AB10" s="83" t="n">
        <f aca="false">COUNTIFS(Openings_Table[[Country]:[Country]],"Saudi_Arabia",Openings_Table[[Opening Date]:[Opening Date]],"&lt;"&amp;AB$8)</f>
        <v>2</v>
      </c>
      <c r="AC10" s="83" t="n">
        <f aca="false">COUNTIFS(Openings_Table[[Country]:[Country]],"Saudi_Arabia",Openings_Table[[Opening Date]:[Opening Date]],"&lt;"&amp;AC$8)</f>
        <v>2</v>
      </c>
      <c r="AD10" s="83" t="n">
        <f aca="false">COUNTIFS(Openings_Table[[Country]:[Country]],"Saudi_Arabia",Openings_Table[[Opening Date]:[Opening Date]],"&lt;"&amp;AD$8)</f>
        <v>2</v>
      </c>
      <c r="AE10" s="83" t="n">
        <f aca="false">COUNTIFS(Openings_Table[[Country]:[Country]],"Saudi_Arabia",Openings_Table[[Opening Date]:[Opening Date]],"&lt;"&amp;AE$8)</f>
        <v>2</v>
      </c>
      <c r="AF10" s="83" t="n">
        <f aca="false">COUNTIFS(Openings_Table[[Country]:[Country]],"Saudi_Arabia",Openings_Table[[Opening Date]:[Opening Date]],"&lt;"&amp;AF$8)</f>
        <v>2</v>
      </c>
      <c r="AG10" s="83" t="n">
        <f aca="false">COUNTIFS(Openings_Table[[Country]:[Country]],"Saudi_Arabia",Openings_Table[[Opening Date]:[Opening Date]],"&lt;"&amp;AG$8)</f>
        <v>2</v>
      </c>
      <c r="AH10" s="83" t="n">
        <f aca="false">COUNTIFS(Openings_Table[[Country]:[Country]],"Saudi_Arabia",Openings_Table[[Opening Date]:[Opening Date]],"&lt;"&amp;AH$8)</f>
        <v>2</v>
      </c>
      <c r="AI10" s="83" t="n">
        <f aca="false">COUNTIFS(Openings_Table[[Country]:[Country]],"Saudi_Arabia",Openings_Table[[Opening Date]:[Opening Date]],"&lt;"&amp;AI$8)</f>
        <v>2</v>
      </c>
      <c r="AJ10" s="83" t="n">
        <f aca="false">COUNTIFS(Openings_Table[[Country]:[Country]],"Saudi_Arabia",Openings_Table[[Opening Date]:[Opening Date]],"&lt;"&amp;AJ$8)</f>
        <v>2</v>
      </c>
      <c r="AK10" s="83" t="n">
        <f aca="false">COUNTIFS(Openings_Table[[Country]:[Country]],"Saudi_Arabia",Openings_Table[[Opening Date]:[Opening Date]],"&lt;"&amp;AK$8)</f>
        <v>2</v>
      </c>
      <c r="AL10" s="83" t="n">
        <f aca="false">COUNTIFS(Openings_Table[[Country]:[Country]],"Saudi_Arabia",Openings_Table[[Opening Date]:[Opening Date]],"&lt;"&amp;AL$8)</f>
        <v>2</v>
      </c>
      <c r="AM10" s="83" t="n">
        <f aca="false">COUNTIFS(Openings_Table[[Country]:[Country]],"Saudi_Arabia",Openings_Table[[Opening Date]:[Opening Date]],"&lt;"&amp;AM$8)</f>
        <v>2</v>
      </c>
      <c r="AN10" s="83" t="n">
        <f aca="false">COUNTIFS(Openings_Table[[Country]:[Country]],"Saudi_Arabia",Openings_Table[[Opening Date]:[Opening Date]],"&lt;"&amp;AN$8)</f>
        <v>2</v>
      </c>
      <c r="AO10" s="83" t="n">
        <f aca="false">COUNTIFS(Openings_Table[[Country]:[Country]],"Saudi_Arabia",Openings_Table[[Opening Date]:[Opening Date]],"&lt;"&amp;AO$8)</f>
        <v>2</v>
      </c>
      <c r="AP10" s="83" t="n">
        <f aca="false">COUNTIFS(Openings_Table[[Country]:[Country]],"Saudi_Arabia",Openings_Table[[Opening Date]:[Opening Date]],"&lt;"&amp;AP$8)</f>
        <v>2</v>
      </c>
    </row>
    <row r="11" s="72" customFormat="true" ht="13.5" hidden="false" customHeight="false" outlineLevel="0" collapsed="false">
      <c r="B11" s="77"/>
      <c r="C11" s="77"/>
      <c r="D11" s="78"/>
      <c r="E11" s="79"/>
      <c r="F11" s="79" t="s">
        <v>163</v>
      </c>
      <c r="G11" s="83" t="n">
        <f aca="false">COUNTIFS(Openings_Table[[Country]:[Country]],"UAE",Openings_Table[[Opening Date]:[Opening Date]],"&lt;"&amp;G$8)</f>
        <v>0</v>
      </c>
      <c r="H11" s="83" t="n">
        <f aca="false">COUNTIFS(Openings_Table[[Country]:[Country]],"UAE",Openings_Table[[Opening Date]:[Opening Date]],"&lt;"&amp;H$8)</f>
        <v>0</v>
      </c>
      <c r="I11" s="83" t="n">
        <f aca="false">COUNTIFS(Openings_Table[[Country]:[Country]],"UAE",Openings_Table[[Opening Date]:[Opening Date]],"&lt;"&amp;I$8)</f>
        <v>0</v>
      </c>
      <c r="J11" s="83" t="n">
        <f aca="false">COUNTIFS(Openings_Table[[Country]:[Country]],"UAE",Openings_Table[[Opening Date]:[Opening Date]],"&lt;"&amp;J$8)</f>
        <v>0</v>
      </c>
      <c r="K11" s="83" t="n">
        <f aca="false">COUNTIFS(Openings_Table[[Country]:[Country]],"UAE",Openings_Table[[Opening Date]:[Opening Date]],"&lt;"&amp;K$8)</f>
        <v>0</v>
      </c>
      <c r="L11" s="83" t="n">
        <f aca="false">COUNTIFS(Openings_Table[[Country]:[Country]],"UAE",Openings_Table[[Opening Date]:[Opening Date]],"&lt;"&amp;L$8)</f>
        <v>0</v>
      </c>
      <c r="M11" s="83" t="n">
        <f aca="false">COUNTIFS(Openings_Table[[Country]:[Country]],"UAE",Openings_Table[[Opening Date]:[Opening Date]],"&lt;"&amp;M$8)</f>
        <v>0</v>
      </c>
      <c r="N11" s="83" t="n">
        <f aca="false">COUNTIFS(Openings_Table[[Country]:[Country]],"UAE",Openings_Table[[Opening Date]:[Opening Date]],"&lt;"&amp;N$8)</f>
        <v>0</v>
      </c>
      <c r="O11" s="83" t="n">
        <f aca="false">COUNTIFS(Openings_Table[[Country]:[Country]],"UAE",Openings_Table[[Opening Date]:[Opening Date]],"&lt;"&amp;O$8)</f>
        <v>0</v>
      </c>
      <c r="P11" s="83" t="n">
        <f aca="false">COUNTIFS(Openings_Table[[Country]:[Country]],"UAE",Openings_Table[[Opening Date]:[Opening Date]],"&lt;"&amp;P$8)</f>
        <v>0</v>
      </c>
      <c r="Q11" s="83" t="n">
        <f aca="false">COUNTIFS(Openings_Table[[Country]:[Country]],"UAE",Openings_Table[[Opening Date]:[Opening Date]],"&lt;"&amp;Q$8)</f>
        <v>1</v>
      </c>
      <c r="R11" s="83" t="n">
        <f aca="false">COUNTIFS(Openings_Table[[Country]:[Country]],"UAE",Openings_Table[[Opening Date]:[Opening Date]],"&lt;"&amp;R$8)</f>
        <v>1</v>
      </c>
      <c r="S11" s="83" t="n">
        <f aca="false">COUNTIFS(Openings_Table[[Country]:[Country]],"UAE",Openings_Table[[Opening Date]:[Opening Date]],"&lt;"&amp;S$8)</f>
        <v>1</v>
      </c>
      <c r="T11" s="83" t="n">
        <f aca="false">COUNTIFS(Openings_Table[[Country]:[Country]],"UAE",Openings_Table[[Opening Date]:[Opening Date]],"&lt;"&amp;T$8)</f>
        <v>1</v>
      </c>
      <c r="U11" s="83" t="n">
        <f aca="false">COUNTIFS(Openings_Table[[Country]:[Country]],"UAE",Openings_Table[[Opening Date]:[Opening Date]],"&lt;"&amp;U$8)</f>
        <v>2</v>
      </c>
      <c r="V11" s="83" t="n">
        <f aca="false">COUNTIFS(Openings_Table[[Country]:[Country]],"UAE",Openings_Table[[Opening Date]:[Opening Date]],"&lt;"&amp;V$8)</f>
        <v>2</v>
      </c>
      <c r="W11" s="83" t="n">
        <f aca="false">COUNTIFS(Openings_Table[[Country]:[Country]],"UAE",Openings_Table[[Opening Date]:[Opening Date]],"&lt;"&amp;W$8)</f>
        <v>3</v>
      </c>
      <c r="X11" s="83" t="n">
        <f aca="false">COUNTIFS(Openings_Table[[Country]:[Country]],"UAE",Openings_Table[[Opening Date]:[Opening Date]],"&lt;"&amp;X$8)</f>
        <v>3</v>
      </c>
      <c r="Y11" s="83" t="n">
        <f aca="false">COUNTIFS(Openings_Table[[Country]:[Country]],"UAE",Openings_Table[[Opening Date]:[Opening Date]],"&lt;"&amp;Y$8)</f>
        <v>3</v>
      </c>
      <c r="Z11" s="83" t="n">
        <f aca="false">COUNTIFS(Openings_Table[[Country]:[Country]],"UAE",Openings_Table[[Opening Date]:[Opening Date]],"&lt;"&amp;Z$8)</f>
        <v>3</v>
      </c>
      <c r="AA11" s="83" t="n">
        <f aca="false">COUNTIFS(Openings_Table[[Country]:[Country]],"UAE",Openings_Table[[Opening Date]:[Opening Date]],"&lt;"&amp;AA$8)</f>
        <v>3</v>
      </c>
      <c r="AB11" s="83" t="n">
        <f aca="false">COUNTIFS(Openings_Table[[Country]:[Country]],"UAE",Openings_Table[[Opening Date]:[Opening Date]],"&lt;"&amp;AB$8)</f>
        <v>3</v>
      </c>
      <c r="AC11" s="83" t="n">
        <f aca="false">COUNTIFS(Openings_Table[[Country]:[Country]],"UAE",Openings_Table[[Opening Date]:[Opening Date]],"&lt;"&amp;AC$8)</f>
        <v>3</v>
      </c>
      <c r="AD11" s="83" t="n">
        <f aca="false">COUNTIFS(Openings_Table[[Country]:[Country]],"UAE",Openings_Table[[Opening Date]:[Opening Date]],"&lt;"&amp;AD$8)</f>
        <v>3</v>
      </c>
      <c r="AE11" s="83" t="n">
        <f aca="false">COUNTIFS(Openings_Table[[Country]:[Country]],"UAE",Openings_Table[[Opening Date]:[Opening Date]],"&lt;"&amp;AE$8)</f>
        <v>3</v>
      </c>
      <c r="AF11" s="83" t="n">
        <f aca="false">COUNTIFS(Openings_Table[[Country]:[Country]],"UAE",Openings_Table[[Opening Date]:[Opening Date]],"&lt;"&amp;AF$8)</f>
        <v>3</v>
      </c>
      <c r="AG11" s="83" t="n">
        <f aca="false">COUNTIFS(Openings_Table[[Country]:[Country]],"UAE",Openings_Table[[Opening Date]:[Opening Date]],"&lt;"&amp;AG$8)</f>
        <v>3</v>
      </c>
      <c r="AH11" s="83" t="n">
        <f aca="false">COUNTIFS(Openings_Table[[Country]:[Country]],"UAE",Openings_Table[[Opening Date]:[Opening Date]],"&lt;"&amp;AH$8)</f>
        <v>3</v>
      </c>
      <c r="AI11" s="83" t="n">
        <f aca="false">COUNTIFS(Openings_Table[[Country]:[Country]],"UAE",Openings_Table[[Opening Date]:[Opening Date]],"&lt;"&amp;AI$8)</f>
        <v>3</v>
      </c>
      <c r="AJ11" s="83" t="n">
        <f aca="false">COUNTIFS(Openings_Table[[Country]:[Country]],"UAE",Openings_Table[[Opening Date]:[Opening Date]],"&lt;"&amp;AJ$8)</f>
        <v>3</v>
      </c>
      <c r="AK11" s="83" t="n">
        <f aca="false">COUNTIFS(Openings_Table[[Country]:[Country]],"UAE",Openings_Table[[Opening Date]:[Opening Date]],"&lt;"&amp;AK$8)</f>
        <v>3</v>
      </c>
      <c r="AL11" s="83" t="n">
        <f aca="false">COUNTIFS(Openings_Table[[Country]:[Country]],"UAE",Openings_Table[[Opening Date]:[Opening Date]],"&lt;"&amp;AL$8)</f>
        <v>3</v>
      </c>
      <c r="AM11" s="83" t="n">
        <f aca="false">COUNTIFS(Openings_Table[[Country]:[Country]],"UAE",Openings_Table[[Opening Date]:[Opening Date]],"&lt;"&amp;AM$8)</f>
        <v>3</v>
      </c>
      <c r="AN11" s="83" t="n">
        <f aca="false">COUNTIFS(Openings_Table[[Country]:[Country]],"UAE",Openings_Table[[Opening Date]:[Opening Date]],"&lt;"&amp;AN$8)</f>
        <v>3</v>
      </c>
      <c r="AO11" s="83" t="n">
        <f aca="false">COUNTIFS(Openings_Table[[Country]:[Country]],"UAE",Openings_Table[[Opening Date]:[Opening Date]],"&lt;"&amp;AO$8)</f>
        <v>3</v>
      </c>
      <c r="AP11" s="83" t="n">
        <f aca="false">COUNTIFS(Openings_Table[[Country]:[Country]],"UAE",Openings_Table[[Opening Date]:[Opening Date]],"&lt;"&amp;AP$8)</f>
        <v>3</v>
      </c>
    </row>
    <row r="12" s="72" customFormat="true" ht="13.5" hidden="false" customHeight="false" outlineLevel="0" collapsed="false">
      <c r="B12" s="77"/>
      <c r="C12" s="77"/>
      <c r="D12" s="78"/>
      <c r="E12" s="79"/>
      <c r="F12" s="79" t="s">
        <v>164</v>
      </c>
      <c r="G12" s="83" t="n">
        <f aca="false">COUNTIFS(Openings_Table[[Country]:[Country]],"Qatar",Openings_Table[[Opening Date]:[Opening Date]],"&lt;"&amp;G$8)</f>
        <v>0</v>
      </c>
      <c r="H12" s="83" t="n">
        <f aca="false">COUNTIFS(Openings_Table[[Country]:[Country]],"Qatar",Openings_Table[[Opening Date]:[Opening Date]],"&lt;"&amp;H$8)</f>
        <v>0</v>
      </c>
      <c r="I12" s="83" t="n">
        <f aca="false">COUNTIFS(Openings_Table[[Country]:[Country]],"Qatar",Openings_Table[[Opening Date]:[Opening Date]],"&lt;"&amp;I$8)</f>
        <v>0</v>
      </c>
      <c r="J12" s="83" t="n">
        <f aca="false">COUNTIFS(Openings_Table[[Country]:[Country]],"Qatar",Openings_Table[[Opening Date]:[Opening Date]],"&lt;"&amp;J$8)</f>
        <v>0</v>
      </c>
      <c r="K12" s="83" t="n">
        <f aca="false">COUNTIFS(Openings_Table[[Country]:[Country]],"Qatar",Openings_Table[[Opening Date]:[Opening Date]],"&lt;"&amp;K$8)</f>
        <v>0</v>
      </c>
      <c r="L12" s="83" t="n">
        <f aca="false">COUNTIFS(Openings_Table[[Country]:[Country]],"Qatar",Openings_Table[[Opening Date]:[Opening Date]],"&lt;"&amp;L$8)</f>
        <v>0</v>
      </c>
      <c r="M12" s="83" t="n">
        <f aca="false">COUNTIFS(Openings_Table[[Country]:[Country]],"Qatar",Openings_Table[[Opening Date]:[Opening Date]],"&lt;"&amp;M$8)</f>
        <v>0</v>
      </c>
      <c r="N12" s="83" t="n">
        <f aca="false">COUNTIFS(Openings_Table[[Country]:[Country]],"Qatar",Openings_Table[[Opening Date]:[Opening Date]],"&lt;"&amp;N$8)</f>
        <v>0</v>
      </c>
      <c r="O12" s="83" t="n">
        <f aca="false">COUNTIFS(Openings_Table[[Country]:[Country]],"Qatar",Openings_Table[[Opening Date]:[Opening Date]],"&lt;"&amp;O$8)</f>
        <v>0</v>
      </c>
      <c r="P12" s="83" t="n">
        <f aca="false">COUNTIFS(Openings_Table[[Country]:[Country]],"Qatar",Openings_Table[[Opening Date]:[Opening Date]],"&lt;"&amp;P$8)</f>
        <v>1</v>
      </c>
      <c r="Q12" s="83" t="n">
        <f aca="false">COUNTIFS(Openings_Table[[Country]:[Country]],"Qatar",Openings_Table[[Opening Date]:[Opening Date]],"&lt;"&amp;Q$8)</f>
        <v>1</v>
      </c>
      <c r="R12" s="83" t="n">
        <f aca="false">COUNTIFS(Openings_Table[[Country]:[Country]],"Qatar",Openings_Table[[Opening Date]:[Opening Date]],"&lt;"&amp;R$8)</f>
        <v>1</v>
      </c>
      <c r="S12" s="83" t="n">
        <f aca="false">COUNTIFS(Openings_Table[[Country]:[Country]],"Qatar",Openings_Table[[Opening Date]:[Opening Date]],"&lt;"&amp;S$8)</f>
        <v>1</v>
      </c>
      <c r="T12" s="83" t="n">
        <f aca="false">COUNTIFS(Openings_Table[[Country]:[Country]],"Qatar",Openings_Table[[Opening Date]:[Opening Date]],"&lt;"&amp;T$8)</f>
        <v>1</v>
      </c>
      <c r="U12" s="83" t="n">
        <f aca="false">COUNTIFS(Openings_Table[[Country]:[Country]],"Qatar",Openings_Table[[Opening Date]:[Opening Date]],"&lt;"&amp;U$8)</f>
        <v>1</v>
      </c>
      <c r="V12" s="83" t="n">
        <f aca="false">COUNTIFS(Openings_Table[[Country]:[Country]],"Qatar",Openings_Table[[Opening Date]:[Opening Date]],"&lt;"&amp;V$8)</f>
        <v>1</v>
      </c>
      <c r="W12" s="83" t="n">
        <f aca="false">COUNTIFS(Openings_Table[[Country]:[Country]],"Qatar",Openings_Table[[Opening Date]:[Opening Date]],"&lt;"&amp;W$8)</f>
        <v>1</v>
      </c>
      <c r="X12" s="83" t="n">
        <f aca="false">COUNTIFS(Openings_Table[[Country]:[Country]],"Qatar",Openings_Table[[Opening Date]:[Opening Date]],"&lt;"&amp;X$8)</f>
        <v>1</v>
      </c>
      <c r="Y12" s="83" t="n">
        <f aca="false">COUNTIFS(Openings_Table[[Country]:[Country]],"Qatar",Openings_Table[[Opening Date]:[Opening Date]],"&lt;"&amp;Y$8)</f>
        <v>1</v>
      </c>
      <c r="Z12" s="83" t="n">
        <f aca="false">COUNTIFS(Openings_Table[[Country]:[Country]],"Qatar",Openings_Table[[Opening Date]:[Opening Date]],"&lt;"&amp;Z$8)</f>
        <v>1</v>
      </c>
      <c r="AA12" s="83" t="n">
        <f aca="false">COUNTIFS(Openings_Table[[Country]:[Country]],"Qatar",Openings_Table[[Opening Date]:[Opening Date]],"&lt;"&amp;AA$8)</f>
        <v>1</v>
      </c>
      <c r="AB12" s="83" t="n">
        <f aca="false">COUNTIFS(Openings_Table[[Country]:[Country]],"Qatar",Openings_Table[[Opening Date]:[Opening Date]],"&lt;"&amp;AB$8)</f>
        <v>1</v>
      </c>
      <c r="AC12" s="83" t="n">
        <f aca="false">COUNTIFS(Openings_Table[[Country]:[Country]],"Qatar",Openings_Table[[Opening Date]:[Opening Date]],"&lt;"&amp;AC$8)</f>
        <v>1</v>
      </c>
      <c r="AD12" s="83" t="n">
        <f aca="false">COUNTIFS(Openings_Table[[Country]:[Country]],"Qatar",Openings_Table[[Opening Date]:[Opening Date]],"&lt;"&amp;AD$8)</f>
        <v>1</v>
      </c>
      <c r="AE12" s="83" t="n">
        <f aca="false">COUNTIFS(Openings_Table[[Country]:[Country]],"Qatar",Openings_Table[[Opening Date]:[Opening Date]],"&lt;"&amp;AE$8)</f>
        <v>1</v>
      </c>
      <c r="AF12" s="83" t="n">
        <f aca="false">COUNTIFS(Openings_Table[[Country]:[Country]],"Qatar",Openings_Table[[Opening Date]:[Opening Date]],"&lt;"&amp;AF$8)</f>
        <v>1</v>
      </c>
      <c r="AG12" s="83" t="n">
        <f aca="false">COUNTIFS(Openings_Table[[Country]:[Country]],"Qatar",Openings_Table[[Opening Date]:[Opening Date]],"&lt;"&amp;AG$8)</f>
        <v>1</v>
      </c>
      <c r="AH12" s="83" t="n">
        <f aca="false">COUNTIFS(Openings_Table[[Country]:[Country]],"Qatar",Openings_Table[[Opening Date]:[Opening Date]],"&lt;"&amp;AH$8)</f>
        <v>1</v>
      </c>
      <c r="AI12" s="83" t="n">
        <f aca="false">COUNTIFS(Openings_Table[[Country]:[Country]],"Qatar",Openings_Table[[Opening Date]:[Opening Date]],"&lt;"&amp;AI$8)</f>
        <v>1</v>
      </c>
      <c r="AJ12" s="83" t="n">
        <f aca="false">COUNTIFS(Openings_Table[[Country]:[Country]],"Qatar",Openings_Table[[Opening Date]:[Opening Date]],"&lt;"&amp;AJ$8)</f>
        <v>1</v>
      </c>
      <c r="AK12" s="83" t="n">
        <f aca="false">COUNTIFS(Openings_Table[[Country]:[Country]],"Qatar",Openings_Table[[Opening Date]:[Opening Date]],"&lt;"&amp;AK$8)</f>
        <v>1</v>
      </c>
      <c r="AL12" s="83" t="n">
        <f aca="false">COUNTIFS(Openings_Table[[Country]:[Country]],"Qatar",Openings_Table[[Opening Date]:[Opening Date]],"&lt;"&amp;AL$8)</f>
        <v>1</v>
      </c>
      <c r="AM12" s="83" t="n">
        <f aca="false">COUNTIFS(Openings_Table[[Country]:[Country]],"Qatar",Openings_Table[[Opening Date]:[Opening Date]],"&lt;"&amp;AM$8)</f>
        <v>1</v>
      </c>
      <c r="AN12" s="83" t="n">
        <f aca="false">COUNTIFS(Openings_Table[[Country]:[Country]],"Qatar",Openings_Table[[Opening Date]:[Opening Date]],"&lt;"&amp;AN$8)</f>
        <v>1</v>
      </c>
      <c r="AO12" s="83" t="n">
        <f aca="false">COUNTIFS(Openings_Table[[Country]:[Country]],"Qatar",Openings_Table[[Opening Date]:[Opening Date]],"&lt;"&amp;AO$8)</f>
        <v>1</v>
      </c>
      <c r="AP12" s="83" t="n">
        <f aca="false">COUNTIFS(Openings_Table[[Country]:[Country]],"Qatar",Openings_Table[[Opening Date]:[Opening Date]],"&lt;"&amp;AP$8)</f>
        <v>1</v>
      </c>
    </row>
    <row r="13" s="72" customFormat="true" ht="13.5" hidden="false" customHeight="false" outlineLevel="0" collapsed="false">
      <c r="B13" s="77"/>
      <c r="C13" s="77"/>
      <c r="D13" s="78"/>
      <c r="E13" s="79"/>
      <c r="F13" s="79" t="s">
        <v>165</v>
      </c>
      <c r="G13" s="83" t="n">
        <f aca="false">COUNTIFS(Openings_Table[[Country]:[Country]],"Kuwait",Openings_Table[[Opening Date]:[Opening Date]],"&lt;"&amp;G$8)</f>
        <v>0</v>
      </c>
      <c r="H13" s="83" t="n">
        <f aca="false">COUNTIFS(Openings_Table[[Country]:[Country]],"Kuwait",Openings_Table[[Opening Date]:[Opening Date]],"&lt;"&amp;H$8)</f>
        <v>0</v>
      </c>
      <c r="I13" s="83" t="n">
        <f aca="false">COUNTIFS(Openings_Table[[Country]:[Country]],"Kuwait",Openings_Table[[Opening Date]:[Opening Date]],"&lt;"&amp;I$8)</f>
        <v>0</v>
      </c>
      <c r="J13" s="83" t="n">
        <f aca="false">COUNTIFS(Openings_Table[[Country]:[Country]],"Kuwait",Openings_Table[[Opening Date]:[Opening Date]],"&lt;"&amp;J$8)</f>
        <v>0</v>
      </c>
      <c r="K13" s="83" t="n">
        <f aca="false">COUNTIFS(Openings_Table[[Country]:[Country]],"Kuwait",Openings_Table[[Opening Date]:[Opening Date]],"&lt;"&amp;K$8)</f>
        <v>0</v>
      </c>
      <c r="L13" s="83" t="n">
        <f aca="false">COUNTIFS(Openings_Table[[Country]:[Country]],"Kuwait",Openings_Table[[Opening Date]:[Opening Date]],"&lt;"&amp;L$8)</f>
        <v>0</v>
      </c>
      <c r="M13" s="83" t="n">
        <f aca="false">COUNTIFS(Openings_Table[[Country]:[Country]],"Kuwait",Openings_Table[[Opening Date]:[Opening Date]],"&lt;"&amp;M$8)</f>
        <v>0</v>
      </c>
      <c r="N13" s="83" t="n">
        <f aca="false">COUNTIFS(Openings_Table[[Country]:[Country]],"Kuwait",Openings_Table[[Opening Date]:[Opening Date]],"&lt;"&amp;N$8)</f>
        <v>0</v>
      </c>
      <c r="O13" s="83" t="n">
        <f aca="false">COUNTIFS(Openings_Table[[Country]:[Country]],"Kuwait",Openings_Table[[Opening Date]:[Opening Date]],"&lt;"&amp;O$8)</f>
        <v>0</v>
      </c>
      <c r="P13" s="83" t="n">
        <f aca="false">COUNTIFS(Openings_Table[[Country]:[Country]],"Kuwait",Openings_Table[[Opening Date]:[Opening Date]],"&lt;"&amp;P$8)</f>
        <v>0</v>
      </c>
      <c r="Q13" s="83" t="n">
        <f aca="false">COUNTIFS(Openings_Table[[Country]:[Country]],"Kuwait",Openings_Table[[Opening Date]:[Opening Date]],"&lt;"&amp;Q$8)</f>
        <v>0</v>
      </c>
      <c r="R13" s="83" t="n">
        <f aca="false">COUNTIFS(Openings_Table[[Country]:[Country]],"Kuwait",Openings_Table[[Opening Date]:[Opening Date]],"&lt;"&amp;R$8)</f>
        <v>0</v>
      </c>
      <c r="S13" s="83" t="n">
        <f aca="false">COUNTIFS(Openings_Table[[Country]:[Country]],"Kuwait",Openings_Table[[Opening Date]:[Opening Date]],"&lt;"&amp;S$8)</f>
        <v>0</v>
      </c>
      <c r="T13" s="83" t="n">
        <f aca="false">COUNTIFS(Openings_Table[[Country]:[Country]],"Kuwait",Openings_Table[[Opening Date]:[Opening Date]],"&lt;"&amp;T$8)</f>
        <v>0</v>
      </c>
      <c r="U13" s="83" t="n">
        <f aca="false">COUNTIFS(Openings_Table[[Country]:[Country]],"Kuwait",Openings_Table[[Opening Date]:[Opening Date]],"&lt;"&amp;U$8)</f>
        <v>0</v>
      </c>
      <c r="V13" s="83" t="n">
        <f aca="false">COUNTIFS(Openings_Table[[Country]:[Country]],"Kuwait",Openings_Table[[Opening Date]:[Opening Date]],"&lt;"&amp;V$8)</f>
        <v>0</v>
      </c>
      <c r="W13" s="83" t="n">
        <f aca="false">COUNTIFS(Openings_Table[[Country]:[Country]],"Kuwait",Openings_Table[[Opening Date]:[Opening Date]],"&lt;"&amp;W$8)</f>
        <v>0</v>
      </c>
      <c r="X13" s="83" t="n">
        <f aca="false">COUNTIFS(Openings_Table[[Country]:[Country]],"Kuwait",Openings_Table[[Opening Date]:[Opening Date]],"&lt;"&amp;X$8)</f>
        <v>0</v>
      </c>
      <c r="Y13" s="83" t="n">
        <f aca="false">COUNTIFS(Openings_Table[[Country]:[Country]],"Kuwait",Openings_Table[[Opening Date]:[Opening Date]],"&lt;"&amp;Y$8)</f>
        <v>0</v>
      </c>
      <c r="Z13" s="83" t="n">
        <f aca="false">COUNTIFS(Openings_Table[[Country]:[Country]],"Kuwait",Openings_Table[[Opening Date]:[Opening Date]],"&lt;"&amp;Z$8)</f>
        <v>1</v>
      </c>
      <c r="AA13" s="83" t="n">
        <f aca="false">COUNTIFS(Openings_Table[[Country]:[Country]],"Kuwait",Openings_Table[[Opening Date]:[Opening Date]],"&lt;"&amp;AA$8)</f>
        <v>1</v>
      </c>
      <c r="AB13" s="83" t="n">
        <f aca="false">COUNTIFS(Openings_Table[[Country]:[Country]],"Kuwait",Openings_Table[[Opening Date]:[Opening Date]],"&lt;"&amp;AB$8)</f>
        <v>1</v>
      </c>
      <c r="AC13" s="83" t="n">
        <f aca="false">COUNTIFS(Openings_Table[[Country]:[Country]],"Kuwait",Openings_Table[[Opening Date]:[Opening Date]],"&lt;"&amp;AC$8)</f>
        <v>1</v>
      </c>
      <c r="AD13" s="83" t="n">
        <f aca="false">COUNTIFS(Openings_Table[[Country]:[Country]],"Kuwait",Openings_Table[[Opening Date]:[Opening Date]],"&lt;"&amp;AD$8)</f>
        <v>1</v>
      </c>
      <c r="AE13" s="83" t="n">
        <f aca="false">COUNTIFS(Openings_Table[[Country]:[Country]],"Kuwait",Openings_Table[[Opening Date]:[Opening Date]],"&lt;"&amp;AE$8)</f>
        <v>1</v>
      </c>
      <c r="AF13" s="83" t="n">
        <f aca="false">COUNTIFS(Openings_Table[[Country]:[Country]],"Kuwait",Openings_Table[[Opening Date]:[Opening Date]],"&lt;"&amp;AF$8)</f>
        <v>1</v>
      </c>
      <c r="AG13" s="83" t="n">
        <f aca="false">COUNTIFS(Openings_Table[[Country]:[Country]],"Kuwait",Openings_Table[[Opening Date]:[Opening Date]],"&lt;"&amp;AG$8)</f>
        <v>1</v>
      </c>
      <c r="AH13" s="83" t="n">
        <f aca="false">COUNTIFS(Openings_Table[[Country]:[Country]],"Kuwait",Openings_Table[[Opening Date]:[Opening Date]],"&lt;"&amp;AH$8)</f>
        <v>1</v>
      </c>
      <c r="AI13" s="83" t="n">
        <f aca="false">COUNTIFS(Openings_Table[[Country]:[Country]],"Kuwait",Openings_Table[[Opening Date]:[Opening Date]],"&lt;"&amp;AI$8)</f>
        <v>1</v>
      </c>
      <c r="AJ13" s="83" t="n">
        <f aca="false">COUNTIFS(Openings_Table[[Country]:[Country]],"Kuwait",Openings_Table[[Opening Date]:[Opening Date]],"&lt;"&amp;AJ$8)</f>
        <v>1</v>
      </c>
      <c r="AK13" s="83" t="n">
        <f aca="false">COUNTIFS(Openings_Table[[Country]:[Country]],"Kuwait",Openings_Table[[Opening Date]:[Opening Date]],"&lt;"&amp;AK$8)</f>
        <v>1</v>
      </c>
      <c r="AL13" s="83" t="n">
        <f aca="false">COUNTIFS(Openings_Table[[Country]:[Country]],"Kuwait",Openings_Table[[Opening Date]:[Opening Date]],"&lt;"&amp;AL$8)</f>
        <v>1</v>
      </c>
      <c r="AM13" s="83" t="n">
        <f aca="false">COUNTIFS(Openings_Table[[Country]:[Country]],"Kuwait",Openings_Table[[Opening Date]:[Opening Date]],"&lt;"&amp;AM$8)</f>
        <v>1</v>
      </c>
      <c r="AN13" s="83" t="n">
        <f aca="false">COUNTIFS(Openings_Table[[Country]:[Country]],"Kuwait",Openings_Table[[Opening Date]:[Opening Date]],"&lt;"&amp;AN$8)</f>
        <v>1</v>
      </c>
      <c r="AO13" s="83" t="n">
        <f aca="false">COUNTIFS(Openings_Table[[Country]:[Country]],"Kuwait",Openings_Table[[Opening Date]:[Opening Date]],"&lt;"&amp;AO$8)</f>
        <v>1</v>
      </c>
      <c r="AP13" s="83" t="n">
        <f aca="false">COUNTIFS(Openings_Table[[Country]:[Country]],"Kuwait",Openings_Table[[Opening Date]:[Opening Date]],"&lt;"&amp;AP$8)</f>
        <v>1</v>
      </c>
    </row>
    <row r="14" s="72" customFormat="true" ht="13.5" hidden="false" customHeight="false" outlineLevel="0" collapsed="false">
      <c r="B14" s="77"/>
      <c r="C14" s="77"/>
      <c r="D14" s="78"/>
      <c r="E14" s="79"/>
      <c r="F14" s="79" t="s">
        <v>166</v>
      </c>
      <c r="G14" s="83" t="n">
        <f aca="false">COUNTIFS(Openings_Table[[Country]:[Country]],"Turkey",Openings_Table[[Opening Date]:[Opening Date]],"&lt;"&amp;G$8)</f>
        <v>0</v>
      </c>
      <c r="H14" s="83" t="n">
        <f aca="false">COUNTIFS(Openings_Table[[Country]:[Country]],"Turkey",Openings_Table[[Opening Date]:[Opening Date]],"&lt;"&amp;H$8)</f>
        <v>0</v>
      </c>
      <c r="I14" s="83" t="n">
        <f aca="false">COUNTIFS(Openings_Table[[Country]:[Country]],"Turkey",Openings_Table[[Opening Date]:[Opening Date]],"&lt;"&amp;I$8)</f>
        <v>0</v>
      </c>
      <c r="J14" s="83" t="n">
        <f aca="false">COUNTIFS(Openings_Table[[Country]:[Country]],"Turkey",Openings_Table[[Opening Date]:[Opening Date]],"&lt;"&amp;J$8)</f>
        <v>0</v>
      </c>
      <c r="K14" s="83" t="n">
        <f aca="false">COUNTIFS(Openings_Table[[Country]:[Country]],"Turkey",Openings_Table[[Opening Date]:[Opening Date]],"&lt;"&amp;K$8)</f>
        <v>0</v>
      </c>
      <c r="L14" s="83" t="n">
        <f aca="false">COUNTIFS(Openings_Table[[Country]:[Country]],"Turkey",Openings_Table[[Opening Date]:[Opening Date]],"&lt;"&amp;L$8)</f>
        <v>0</v>
      </c>
      <c r="M14" s="83" t="n">
        <f aca="false">COUNTIFS(Openings_Table[[Country]:[Country]],"Turkey",Openings_Table[[Opening Date]:[Opening Date]],"&lt;"&amp;M$8)</f>
        <v>0</v>
      </c>
      <c r="N14" s="83" t="n">
        <f aca="false">COUNTIFS(Openings_Table[[Country]:[Country]],"Turkey",Openings_Table[[Opening Date]:[Opening Date]],"&lt;"&amp;N$8)</f>
        <v>0</v>
      </c>
      <c r="O14" s="83" t="n">
        <f aca="false">COUNTIFS(Openings_Table[[Country]:[Country]],"Turkey",Openings_Table[[Opening Date]:[Opening Date]],"&lt;"&amp;O$8)</f>
        <v>0</v>
      </c>
      <c r="P14" s="83" t="n">
        <f aca="false">COUNTIFS(Openings_Table[[Country]:[Country]],"Turkey",Openings_Table[[Opening Date]:[Opening Date]],"&lt;"&amp;P$8)</f>
        <v>0</v>
      </c>
      <c r="Q14" s="83" t="n">
        <f aca="false">COUNTIFS(Openings_Table[[Country]:[Country]],"Turkey",Openings_Table[[Opening Date]:[Opening Date]],"&lt;"&amp;Q$8)</f>
        <v>0</v>
      </c>
      <c r="R14" s="83" t="n">
        <f aca="false">COUNTIFS(Openings_Table[[Country]:[Country]],"Turkey",Openings_Table[[Opening Date]:[Opening Date]],"&lt;"&amp;R$8)</f>
        <v>0</v>
      </c>
      <c r="S14" s="83" t="n">
        <f aca="false">COUNTIFS(Openings_Table[[Country]:[Country]],"Turkey",Openings_Table[[Opening Date]:[Opening Date]],"&lt;"&amp;S$8)</f>
        <v>0</v>
      </c>
      <c r="T14" s="83" t="n">
        <f aca="false">COUNTIFS(Openings_Table[[Country]:[Country]],"Turkey",Openings_Table[[Opening Date]:[Opening Date]],"&lt;"&amp;T$8)</f>
        <v>0</v>
      </c>
      <c r="U14" s="83" t="n">
        <f aca="false">COUNTIFS(Openings_Table[[Country]:[Country]],"Turkey",Openings_Table[[Opening Date]:[Opening Date]],"&lt;"&amp;U$8)</f>
        <v>0</v>
      </c>
      <c r="V14" s="83" t="n">
        <f aca="false">COUNTIFS(Openings_Table[[Country]:[Country]],"Turkey",Openings_Table[[Opening Date]:[Opening Date]],"&lt;"&amp;V$8)</f>
        <v>0</v>
      </c>
      <c r="W14" s="83" t="n">
        <f aca="false">COUNTIFS(Openings_Table[[Country]:[Country]],"Turkey",Openings_Table[[Opening Date]:[Opening Date]],"&lt;"&amp;W$8)</f>
        <v>0</v>
      </c>
      <c r="X14" s="83" t="n">
        <f aca="false">COUNTIFS(Openings_Table[[Country]:[Country]],"Turkey",Openings_Table[[Opening Date]:[Opening Date]],"&lt;"&amp;X$8)</f>
        <v>0</v>
      </c>
      <c r="Y14" s="83" t="n">
        <f aca="false">COUNTIFS(Openings_Table[[Country]:[Country]],"Turkey",Openings_Table[[Opening Date]:[Opening Date]],"&lt;"&amp;Y$8)</f>
        <v>0</v>
      </c>
      <c r="Z14" s="83" t="n">
        <f aca="false">COUNTIFS(Openings_Table[[Country]:[Country]],"Turkey",Openings_Table[[Opening Date]:[Opening Date]],"&lt;"&amp;Z$8)</f>
        <v>0</v>
      </c>
      <c r="AA14" s="83" t="n">
        <f aca="false">COUNTIFS(Openings_Table[[Country]:[Country]],"Turkey",Openings_Table[[Opening Date]:[Opening Date]],"&lt;"&amp;AA$8)</f>
        <v>0</v>
      </c>
      <c r="AB14" s="83" t="n">
        <f aca="false">COUNTIFS(Openings_Table[[Country]:[Country]],"Turkey",Openings_Table[[Opening Date]:[Opening Date]],"&lt;"&amp;AB$8)</f>
        <v>0</v>
      </c>
      <c r="AC14" s="83" t="n">
        <f aca="false">COUNTIFS(Openings_Table[[Country]:[Country]],"Turkey",Openings_Table[[Opening Date]:[Opening Date]],"&lt;"&amp;AC$8)</f>
        <v>0</v>
      </c>
      <c r="AD14" s="83" t="n">
        <f aca="false">COUNTIFS(Openings_Table[[Country]:[Country]],"Turkey",Openings_Table[[Opening Date]:[Opening Date]],"&lt;"&amp;AD$8)</f>
        <v>1</v>
      </c>
      <c r="AE14" s="83" t="n">
        <f aca="false">COUNTIFS(Openings_Table[[Country]:[Country]],"Turkey",Openings_Table[[Opening Date]:[Opening Date]],"&lt;"&amp;AE$8)</f>
        <v>1</v>
      </c>
      <c r="AF14" s="83" t="n">
        <f aca="false">COUNTIFS(Openings_Table[[Country]:[Country]],"Turkey",Openings_Table[[Opening Date]:[Opening Date]],"&lt;"&amp;AF$8)</f>
        <v>1</v>
      </c>
      <c r="AG14" s="83" t="n">
        <f aca="false">COUNTIFS(Openings_Table[[Country]:[Country]],"Turkey",Openings_Table[[Opening Date]:[Opening Date]],"&lt;"&amp;AG$8)</f>
        <v>1</v>
      </c>
      <c r="AH14" s="83" t="n">
        <f aca="false">COUNTIFS(Openings_Table[[Country]:[Country]],"Turkey",Openings_Table[[Opening Date]:[Opening Date]],"&lt;"&amp;AH$8)</f>
        <v>1</v>
      </c>
      <c r="AI14" s="83" t="n">
        <f aca="false">COUNTIFS(Openings_Table[[Country]:[Country]],"Turkey",Openings_Table[[Opening Date]:[Opening Date]],"&lt;"&amp;AI$8)</f>
        <v>1</v>
      </c>
      <c r="AJ14" s="83" t="n">
        <f aca="false">COUNTIFS(Openings_Table[[Country]:[Country]],"Turkey",Openings_Table[[Opening Date]:[Opening Date]],"&lt;"&amp;AJ$8)</f>
        <v>1</v>
      </c>
      <c r="AK14" s="83" t="n">
        <f aca="false">COUNTIFS(Openings_Table[[Country]:[Country]],"Turkey",Openings_Table[[Opening Date]:[Opening Date]],"&lt;"&amp;AK$8)</f>
        <v>1</v>
      </c>
      <c r="AL14" s="83" t="n">
        <f aca="false">COUNTIFS(Openings_Table[[Country]:[Country]],"Turkey",Openings_Table[[Opening Date]:[Opening Date]],"&lt;"&amp;AL$8)</f>
        <v>1</v>
      </c>
      <c r="AM14" s="83" t="n">
        <f aca="false">COUNTIFS(Openings_Table[[Country]:[Country]],"Turkey",Openings_Table[[Opening Date]:[Opening Date]],"&lt;"&amp;AM$8)</f>
        <v>1</v>
      </c>
      <c r="AN14" s="83" t="n">
        <f aca="false">COUNTIFS(Openings_Table[[Country]:[Country]],"Turkey",Openings_Table[[Opening Date]:[Opening Date]],"&lt;"&amp;AN$8)</f>
        <v>1</v>
      </c>
      <c r="AO14" s="83" t="n">
        <f aca="false">COUNTIFS(Openings_Table[[Country]:[Country]],"Turkey",Openings_Table[[Opening Date]:[Opening Date]],"&lt;"&amp;AO$8)</f>
        <v>1</v>
      </c>
      <c r="AP14" s="83" t="n">
        <f aca="false">COUNTIFS(Openings_Table[[Country]:[Country]],"Turkey",Openings_Table[[Opening Date]:[Opening Date]],"&lt;"&amp;AP$8)</f>
        <v>1</v>
      </c>
    </row>
    <row r="15" s="72" customFormat="true" ht="13.5" hidden="false" customHeight="false" outlineLevel="0" collapsed="false">
      <c r="B15" s="77"/>
      <c r="C15" s="77"/>
      <c r="D15" s="78"/>
      <c r="E15" s="79"/>
      <c r="F15" s="79" t="s">
        <v>167</v>
      </c>
      <c r="G15" s="83" t="n">
        <f aca="false">COUNTIFS(Openings_Table[[Country]:[Country]],"Morocco",Openings_Table[[Opening Date]:[Opening Date]],"&lt;"&amp;G$8)</f>
        <v>0</v>
      </c>
      <c r="H15" s="83" t="n">
        <f aca="false">COUNTIFS(Openings_Table[[Country]:[Country]],"Morocco",Openings_Table[[Opening Date]:[Opening Date]],"&lt;"&amp;H$8)</f>
        <v>0</v>
      </c>
      <c r="I15" s="83" t="n">
        <f aca="false">COUNTIFS(Openings_Table[[Country]:[Country]],"Morocco",Openings_Table[[Opening Date]:[Opening Date]],"&lt;"&amp;I$8)</f>
        <v>0</v>
      </c>
      <c r="J15" s="83" t="n">
        <f aca="false">COUNTIFS(Openings_Table[[Country]:[Country]],"Morocco",Openings_Table[[Opening Date]:[Opening Date]],"&lt;"&amp;J$8)</f>
        <v>0</v>
      </c>
      <c r="K15" s="83" t="n">
        <f aca="false">COUNTIFS(Openings_Table[[Country]:[Country]],"Morocco",Openings_Table[[Opening Date]:[Opening Date]],"&lt;"&amp;K$8)</f>
        <v>0</v>
      </c>
      <c r="L15" s="83" t="n">
        <f aca="false">COUNTIFS(Openings_Table[[Country]:[Country]],"Morocco",Openings_Table[[Opening Date]:[Opening Date]],"&lt;"&amp;L$8)</f>
        <v>0</v>
      </c>
      <c r="M15" s="83" t="n">
        <f aca="false">COUNTIFS(Openings_Table[[Country]:[Country]],"Morocco",Openings_Table[[Opening Date]:[Opening Date]],"&lt;"&amp;M$8)</f>
        <v>0</v>
      </c>
      <c r="N15" s="83" t="n">
        <f aca="false">COUNTIFS(Openings_Table[[Country]:[Country]],"Morocco",Openings_Table[[Opening Date]:[Opening Date]],"&lt;"&amp;N$8)</f>
        <v>0</v>
      </c>
      <c r="O15" s="83" t="n">
        <f aca="false">COUNTIFS(Openings_Table[[Country]:[Country]],"Morocco",Openings_Table[[Opening Date]:[Opening Date]],"&lt;"&amp;O$8)</f>
        <v>0</v>
      </c>
      <c r="P15" s="83" t="n">
        <f aca="false">COUNTIFS(Openings_Table[[Country]:[Country]],"Morocco",Openings_Table[[Opening Date]:[Opening Date]],"&lt;"&amp;P$8)</f>
        <v>0</v>
      </c>
      <c r="Q15" s="83" t="n">
        <f aca="false">COUNTIFS(Openings_Table[[Country]:[Country]],"Morocco",Openings_Table[[Opening Date]:[Opening Date]],"&lt;"&amp;Q$8)</f>
        <v>0</v>
      </c>
      <c r="R15" s="83" t="n">
        <f aca="false">COUNTIFS(Openings_Table[[Country]:[Country]],"Morocco",Openings_Table[[Opening Date]:[Opening Date]],"&lt;"&amp;R$8)</f>
        <v>0</v>
      </c>
      <c r="S15" s="83" t="n">
        <f aca="false">COUNTIFS(Openings_Table[[Country]:[Country]],"Morocco",Openings_Table[[Opening Date]:[Opening Date]],"&lt;"&amp;S$8)</f>
        <v>0</v>
      </c>
      <c r="T15" s="83" t="n">
        <f aca="false">COUNTIFS(Openings_Table[[Country]:[Country]],"Morocco",Openings_Table[[Opening Date]:[Opening Date]],"&lt;"&amp;T$8)</f>
        <v>0</v>
      </c>
      <c r="U15" s="83" t="n">
        <f aca="false">COUNTIFS(Openings_Table[[Country]:[Country]],"Morocco",Openings_Table[[Opening Date]:[Opening Date]],"&lt;"&amp;U$8)</f>
        <v>0</v>
      </c>
      <c r="V15" s="83" t="n">
        <f aca="false">COUNTIFS(Openings_Table[[Country]:[Country]],"Morocco",Openings_Table[[Opening Date]:[Opening Date]],"&lt;"&amp;V$8)</f>
        <v>0</v>
      </c>
      <c r="W15" s="83" t="n">
        <f aca="false">COUNTIFS(Openings_Table[[Country]:[Country]],"Morocco",Openings_Table[[Opening Date]:[Opening Date]],"&lt;"&amp;W$8)</f>
        <v>0</v>
      </c>
      <c r="X15" s="83" t="n">
        <f aca="false">COUNTIFS(Openings_Table[[Country]:[Country]],"Morocco",Openings_Table[[Opening Date]:[Opening Date]],"&lt;"&amp;X$8)</f>
        <v>0</v>
      </c>
      <c r="Y15" s="83" t="n">
        <f aca="false">COUNTIFS(Openings_Table[[Country]:[Country]],"Morocco",Openings_Table[[Opening Date]:[Opening Date]],"&lt;"&amp;Y$8)</f>
        <v>0</v>
      </c>
      <c r="Z15" s="83" t="n">
        <f aca="false">COUNTIFS(Openings_Table[[Country]:[Country]],"Morocco",Openings_Table[[Opening Date]:[Opening Date]],"&lt;"&amp;Z$8)</f>
        <v>0</v>
      </c>
      <c r="AA15" s="83" t="n">
        <f aca="false">COUNTIFS(Openings_Table[[Country]:[Country]],"Morocco",Openings_Table[[Opening Date]:[Opening Date]],"&lt;"&amp;AA$8)</f>
        <v>0</v>
      </c>
      <c r="AB15" s="83" t="n">
        <f aca="false">COUNTIFS(Openings_Table[[Country]:[Country]],"Morocco",Openings_Table[[Opening Date]:[Opening Date]],"&lt;"&amp;AB$8)</f>
        <v>0</v>
      </c>
      <c r="AC15" s="83" t="n">
        <f aca="false">COUNTIFS(Openings_Table[[Country]:[Country]],"Morocco",Openings_Table[[Opening Date]:[Opening Date]],"&lt;"&amp;AC$8)</f>
        <v>0</v>
      </c>
      <c r="AD15" s="83" t="n">
        <f aca="false">COUNTIFS(Openings_Table[[Country]:[Country]],"Morocco",Openings_Table[[Opening Date]:[Opening Date]],"&lt;"&amp;AD$8)</f>
        <v>0</v>
      </c>
      <c r="AE15" s="83" t="n">
        <f aca="false">COUNTIFS(Openings_Table[[Country]:[Country]],"Morocco",Openings_Table[[Opening Date]:[Opening Date]],"&lt;"&amp;AE$8)</f>
        <v>0</v>
      </c>
      <c r="AF15" s="83" t="n">
        <f aca="false">COUNTIFS(Openings_Table[[Country]:[Country]],"Morocco",Openings_Table[[Opening Date]:[Opening Date]],"&lt;"&amp;AF$8)</f>
        <v>0</v>
      </c>
      <c r="AG15" s="83" t="n">
        <f aca="false">COUNTIFS(Openings_Table[[Country]:[Country]],"Morocco",Openings_Table[[Opening Date]:[Opening Date]],"&lt;"&amp;AG$8)</f>
        <v>1</v>
      </c>
      <c r="AH15" s="83" t="n">
        <f aca="false">COUNTIFS(Openings_Table[[Country]:[Country]],"Morocco",Openings_Table[[Opening Date]:[Opening Date]],"&lt;"&amp;AH$8)</f>
        <v>1</v>
      </c>
      <c r="AI15" s="83" t="n">
        <f aca="false">COUNTIFS(Openings_Table[[Country]:[Country]],"Morocco",Openings_Table[[Opening Date]:[Opening Date]],"&lt;"&amp;AI$8)</f>
        <v>1</v>
      </c>
      <c r="AJ15" s="83" t="n">
        <f aca="false">COUNTIFS(Openings_Table[[Country]:[Country]],"Morocco",Openings_Table[[Opening Date]:[Opening Date]],"&lt;"&amp;AJ$8)</f>
        <v>1</v>
      </c>
      <c r="AK15" s="83" t="n">
        <f aca="false">COUNTIFS(Openings_Table[[Country]:[Country]],"Morocco",Openings_Table[[Opening Date]:[Opening Date]],"&lt;"&amp;AK$8)</f>
        <v>1</v>
      </c>
      <c r="AL15" s="83" t="n">
        <f aca="false">COUNTIFS(Openings_Table[[Country]:[Country]],"Morocco",Openings_Table[[Opening Date]:[Opening Date]],"&lt;"&amp;AL$8)</f>
        <v>1</v>
      </c>
      <c r="AM15" s="83" t="n">
        <f aca="false">COUNTIFS(Openings_Table[[Country]:[Country]],"Morocco",Openings_Table[[Opening Date]:[Opening Date]],"&lt;"&amp;AM$8)</f>
        <v>1</v>
      </c>
      <c r="AN15" s="83" t="n">
        <f aca="false">COUNTIFS(Openings_Table[[Country]:[Country]],"Morocco",Openings_Table[[Opening Date]:[Opening Date]],"&lt;"&amp;AN$8)</f>
        <v>1</v>
      </c>
      <c r="AO15" s="83" t="n">
        <f aca="false">COUNTIFS(Openings_Table[[Country]:[Country]],"Morocco",Openings_Table[[Opening Date]:[Opening Date]],"&lt;"&amp;AO$8)</f>
        <v>1</v>
      </c>
      <c r="AP15" s="83" t="n">
        <f aca="false">COUNTIFS(Openings_Table[[Country]:[Country]],"Morocco",Openings_Table[[Opening Date]:[Opening Date]],"&lt;"&amp;AP$8)</f>
        <v>1</v>
      </c>
    </row>
    <row r="16" s="72" customFormat="true" ht="13.5" hidden="false" customHeight="false" outlineLevel="0" collapsed="false">
      <c r="B16" s="84"/>
      <c r="C16" s="84"/>
      <c r="E16" s="79"/>
      <c r="F16" s="79" t="s">
        <v>168</v>
      </c>
      <c r="G16" s="83" t="n">
        <f aca="false">COUNTIFS(Openings_Table[[Country]:[Country]],"Egypt",Openings_Table[[Opening Date]:[Opening Date]],"&lt;"&amp;G$8)</f>
        <v>0</v>
      </c>
      <c r="H16" s="83" t="n">
        <f aca="false">COUNTIFS(Openings_Table[[Country]:[Country]],"Egypt",Openings_Table[[Opening Date]:[Opening Date]],"&lt;"&amp;H$8)</f>
        <v>0</v>
      </c>
      <c r="I16" s="83" t="n">
        <f aca="false">COUNTIFS(Openings_Table[[Country]:[Country]],"Egypt",Openings_Table[[Opening Date]:[Opening Date]],"&lt;"&amp;I$8)</f>
        <v>0</v>
      </c>
      <c r="J16" s="83" t="n">
        <f aca="false">COUNTIFS(Openings_Table[[Country]:[Country]],"Egypt",Openings_Table[[Opening Date]:[Opening Date]],"&lt;"&amp;J$8)</f>
        <v>0</v>
      </c>
      <c r="K16" s="83" t="n">
        <f aca="false">COUNTIFS(Openings_Table[[Country]:[Country]],"Egypt",Openings_Table[[Opening Date]:[Opening Date]],"&lt;"&amp;K$8)</f>
        <v>0</v>
      </c>
      <c r="L16" s="83" t="n">
        <f aca="false">COUNTIFS(Openings_Table[[Country]:[Country]],"Egypt",Openings_Table[[Opening Date]:[Opening Date]],"&lt;"&amp;L$8)</f>
        <v>0</v>
      </c>
      <c r="M16" s="83" t="n">
        <f aca="false">COUNTIFS(Openings_Table[[Country]:[Country]],"Egypt",Openings_Table[[Opening Date]:[Opening Date]],"&lt;"&amp;M$8)</f>
        <v>0</v>
      </c>
      <c r="N16" s="83" t="n">
        <f aca="false">COUNTIFS(Openings_Table[[Country]:[Country]],"Egypt",Openings_Table[[Opening Date]:[Opening Date]],"&lt;"&amp;N$8)</f>
        <v>0</v>
      </c>
      <c r="O16" s="83" t="n">
        <f aca="false">COUNTIFS(Openings_Table[[Country]:[Country]],"Egypt",Openings_Table[[Opening Date]:[Opening Date]],"&lt;"&amp;O$8)</f>
        <v>0</v>
      </c>
      <c r="P16" s="83" t="n">
        <f aca="false">COUNTIFS(Openings_Table[[Country]:[Country]],"Egypt",Openings_Table[[Opening Date]:[Opening Date]],"&lt;"&amp;P$8)</f>
        <v>0</v>
      </c>
      <c r="Q16" s="83" t="n">
        <f aca="false">COUNTIFS(Openings_Table[[Country]:[Country]],"Egypt",Openings_Table[[Opening Date]:[Opening Date]],"&lt;"&amp;Q$8)</f>
        <v>0</v>
      </c>
      <c r="R16" s="83" t="n">
        <f aca="false">COUNTIFS(Openings_Table[[Country]:[Country]],"Egypt",Openings_Table[[Opening Date]:[Opening Date]],"&lt;"&amp;R$8)</f>
        <v>0</v>
      </c>
      <c r="S16" s="83" t="n">
        <f aca="false">COUNTIFS(Openings_Table[[Country]:[Country]],"Egypt",Openings_Table[[Opening Date]:[Opening Date]],"&lt;"&amp;S$8)</f>
        <v>0</v>
      </c>
      <c r="T16" s="83" t="n">
        <f aca="false">COUNTIFS(Openings_Table[[Country]:[Country]],"Egypt",Openings_Table[[Opening Date]:[Opening Date]],"&lt;"&amp;T$8)</f>
        <v>0</v>
      </c>
      <c r="U16" s="83" t="n">
        <f aca="false">COUNTIFS(Openings_Table[[Country]:[Country]],"Egypt",Openings_Table[[Opening Date]:[Opening Date]],"&lt;"&amp;U$8)</f>
        <v>0</v>
      </c>
      <c r="V16" s="83" t="n">
        <f aca="false">COUNTIFS(Openings_Table[[Country]:[Country]],"Egypt",Openings_Table[[Opening Date]:[Opening Date]],"&lt;"&amp;V$8)</f>
        <v>0</v>
      </c>
      <c r="W16" s="83" t="n">
        <f aca="false">COUNTIFS(Openings_Table[[Country]:[Country]],"Egypt",Openings_Table[[Opening Date]:[Opening Date]],"&lt;"&amp;W$8)</f>
        <v>0</v>
      </c>
      <c r="X16" s="83" t="n">
        <f aca="false">COUNTIFS(Openings_Table[[Country]:[Country]],"Egypt",Openings_Table[[Opening Date]:[Opening Date]],"&lt;"&amp;X$8)</f>
        <v>0</v>
      </c>
      <c r="Y16" s="83" t="n">
        <f aca="false">COUNTIFS(Openings_Table[[Country]:[Country]],"Egypt",Openings_Table[[Opening Date]:[Opening Date]],"&lt;"&amp;Y$8)</f>
        <v>0</v>
      </c>
      <c r="Z16" s="83" t="n">
        <f aca="false">COUNTIFS(Openings_Table[[Country]:[Country]],"Egypt",Openings_Table[[Opening Date]:[Opening Date]],"&lt;"&amp;Z$8)</f>
        <v>0</v>
      </c>
      <c r="AA16" s="83" t="n">
        <f aca="false">COUNTIFS(Openings_Table[[Country]:[Country]],"Egypt",Openings_Table[[Opening Date]:[Opening Date]],"&lt;"&amp;AA$8)</f>
        <v>0</v>
      </c>
      <c r="AB16" s="83" t="n">
        <f aca="false">COUNTIFS(Openings_Table[[Country]:[Country]],"Egypt",Openings_Table[[Opening Date]:[Opening Date]],"&lt;"&amp;AB$8)</f>
        <v>0</v>
      </c>
      <c r="AC16" s="83" t="n">
        <f aca="false">COUNTIFS(Openings_Table[[Country]:[Country]],"Egypt",Openings_Table[[Opening Date]:[Opening Date]],"&lt;"&amp;AC$8)</f>
        <v>0</v>
      </c>
      <c r="AD16" s="83" t="n">
        <f aca="false">COUNTIFS(Openings_Table[[Country]:[Country]],"Egypt",Openings_Table[[Opening Date]:[Opening Date]],"&lt;"&amp;AD$8)</f>
        <v>0</v>
      </c>
      <c r="AE16" s="83" t="n">
        <f aca="false">COUNTIFS(Openings_Table[[Country]:[Country]],"Egypt",Openings_Table[[Opening Date]:[Opening Date]],"&lt;"&amp;AE$8)</f>
        <v>0</v>
      </c>
      <c r="AF16" s="83" t="n">
        <f aca="false">COUNTIFS(Openings_Table[[Country]:[Country]],"Egypt",Openings_Table[[Opening Date]:[Opening Date]],"&lt;"&amp;AF$8)</f>
        <v>0</v>
      </c>
      <c r="AG16" s="83" t="n">
        <f aca="false">COUNTIFS(Openings_Table[[Country]:[Country]],"Egypt",Openings_Table[[Opening Date]:[Opening Date]],"&lt;"&amp;AG$8)</f>
        <v>0</v>
      </c>
      <c r="AH16" s="83" t="n">
        <f aca="false">COUNTIFS(Openings_Table[[Country]:[Country]],"Egypt",Openings_Table[[Opening Date]:[Opening Date]],"&lt;"&amp;AH$8)</f>
        <v>0</v>
      </c>
      <c r="AI16" s="83" t="n">
        <f aca="false">COUNTIFS(Openings_Table[[Country]:[Country]],"Egypt",Openings_Table[[Opening Date]:[Opening Date]],"&lt;"&amp;AI$8)</f>
        <v>0</v>
      </c>
      <c r="AJ16" s="83" t="n">
        <f aca="false">COUNTIFS(Openings_Table[[Country]:[Country]],"Egypt",Openings_Table[[Opening Date]:[Opening Date]],"&lt;"&amp;AJ$8)</f>
        <v>1</v>
      </c>
      <c r="AK16" s="83" t="n">
        <f aca="false">COUNTIFS(Openings_Table[[Country]:[Country]],"Egypt",Openings_Table[[Opening Date]:[Opening Date]],"&lt;"&amp;AK$8)</f>
        <v>1</v>
      </c>
      <c r="AL16" s="83" t="n">
        <f aca="false">COUNTIFS(Openings_Table[[Country]:[Country]],"Egypt",Openings_Table[[Opening Date]:[Opening Date]],"&lt;"&amp;AL$8)</f>
        <v>1</v>
      </c>
      <c r="AM16" s="83" t="n">
        <f aca="false">COUNTIFS(Openings_Table[[Country]:[Country]],"Egypt",Openings_Table[[Opening Date]:[Opening Date]],"&lt;"&amp;AM$8)</f>
        <v>1</v>
      </c>
      <c r="AN16" s="83" t="n">
        <f aca="false">COUNTIFS(Openings_Table[[Country]:[Country]],"Egypt",Openings_Table[[Opening Date]:[Opening Date]],"&lt;"&amp;AN$8)</f>
        <v>1</v>
      </c>
      <c r="AO16" s="83" t="n">
        <f aca="false">COUNTIFS(Openings_Table[[Country]:[Country]],"Egypt",Openings_Table[[Opening Date]:[Opening Date]],"&lt;"&amp;AO$8)</f>
        <v>1</v>
      </c>
      <c r="AP16" s="83" t="n">
        <f aca="false">COUNTIFS(Openings_Table[[Country]:[Country]],"Egypt",Openings_Table[[Opening Date]:[Opening Date]],"&lt;"&amp;AP$8)</f>
        <v>1</v>
      </c>
    </row>
    <row r="17" s="72" customFormat="true" ht="13.5" hidden="false" customHeight="false" outlineLevel="0" collapsed="false">
      <c r="B17" s="85"/>
      <c r="C17" s="85"/>
      <c r="D17" s="86" t="s">
        <v>42</v>
      </c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</row>
    <row r="18" s="72" customFormat="true" ht="13.5" hidden="false" customHeight="false" outlineLevel="0" collapsed="false">
      <c r="B18" s="87"/>
      <c r="C18" s="87"/>
      <c r="D18" s="88"/>
      <c r="E18" s="79"/>
      <c r="F18" s="80" t="s">
        <v>43</v>
      </c>
    </row>
    <row r="19" s="72" customFormat="true" ht="13.5" hidden="false" customHeight="false" outlineLevel="0" collapsed="false">
      <c r="B19" s="87"/>
      <c r="C19" s="87"/>
      <c r="D19" s="88"/>
      <c r="E19" s="79"/>
      <c r="F19" s="80"/>
    </row>
    <row r="20" customFormat="false" ht="13.5" hidden="false" customHeight="false" outlineLevel="0" collapsed="false">
      <c r="A20" s="72"/>
      <c r="B20" s="87"/>
      <c r="D20" s="88"/>
      <c r="E20" s="79"/>
      <c r="F20" s="79" t="s">
        <v>169</v>
      </c>
      <c r="G20" s="89" t="n">
        <f aca="false">SUMIFS(Openings_Table[[Initial One-Time Fee]:[Initial One-Time Fee]],Openings_Table[[Country]:[Country]],"Saudi_Arabia",Openings_Table[[Opening Date]:[Opening Date]],"&lt;"&amp;G$8)/(12*10)</f>
        <v>3333.33333333333</v>
      </c>
      <c r="H20" s="89" t="n">
        <f aca="false">SUMIFS(Openings_Table[[Initial One-Time Fee]:[Initial One-Time Fee]],Openings_Table[[Country]:[Country]],"Saudi_Arabia",Openings_Table[[Opening Date]:[Opening Date]],"&lt;"&amp;H8)/(12*10)</f>
        <v>3333.33333333333</v>
      </c>
      <c r="I20" s="89" t="n">
        <f aca="false">SUMIFS(Openings_Table[[Initial One-Time Fee]:[Initial One-Time Fee]],Openings_Table[[Country]:[Country]],"Saudi_Arabia",Openings_Table[[Opening Date]:[Opening Date]],"&lt;"&amp;I8)/(12*10)</f>
        <v>3333.33333333333</v>
      </c>
      <c r="J20" s="89" t="n">
        <f aca="false">SUMIFS(Openings_Table[[Initial One-Time Fee]:[Initial One-Time Fee]],Openings_Table[[Country]:[Country]],"Saudi_Arabia",Openings_Table[[Opening Date]:[Opening Date]],"&lt;"&amp;J8)/(12*10)</f>
        <v>3333.33333333333</v>
      </c>
      <c r="K20" s="89" t="n">
        <f aca="false">SUMIFS(Openings_Table[[Initial One-Time Fee]:[Initial One-Time Fee]],Openings_Table[[Country]:[Country]],"Saudi_Arabia",Openings_Table[[Opening Date]:[Opening Date]],"&lt;"&amp;K8)/(12*10)</f>
        <v>3333.33333333333</v>
      </c>
      <c r="L20" s="89" t="n">
        <f aca="false">SUMIFS(Openings_Table[[Initial One-Time Fee]:[Initial One-Time Fee]],Openings_Table[[Country]:[Country]],"Saudi_Arabia",Openings_Table[[Opening Date]:[Opening Date]],"&lt;"&amp;L8)/(12*10)</f>
        <v>4583.33333333333</v>
      </c>
      <c r="M20" s="89" t="n">
        <f aca="false">SUMIFS(Openings_Table[[Initial One-Time Fee]:[Initial One-Time Fee]],Openings_Table[[Country]:[Country]],"Saudi_Arabia",Openings_Table[[Opening Date]:[Opening Date]],"&lt;"&amp;M8)/(12*10)</f>
        <v>4583.33333333333</v>
      </c>
      <c r="N20" s="89" t="n">
        <f aca="false">SUMIFS(Openings_Table[[Initial One-Time Fee]:[Initial One-Time Fee]],Openings_Table[[Country]:[Country]],"Saudi_Arabia",Openings_Table[[Opening Date]:[Opening Date]],"&lt;"&amp;N8)/(12*10)</f>
        <v>4583.33333333333</v>
      </c>
      <c r="O20" s="89" t="n">
        <f aca="false">SUMIFS(Openings_Table[[Initial One-Time Fee]:[Initial One-Time Fee]],Openings_Table[[Country]:[Country]],"Saudi_Arabia",Openings_Table[[Opening Date]:[Opening Date]],"&lt;"&amp;O8)/(12*10)</f>
        <v>4583.33333333333</v>
      </c>
      <c r="P20" s="89" t="n">
        <f aca="false">SUMIFS(Openings_Table[[Initial One-Time Fee]:[Initial One-Time Fee]],Openings_Table[[Country]:[Country]],"Saudi_Arabia",Openings_Table[[Opening Date]:[Opening Date]],"&lt;"&amp;P8)/(12*10)</f>
        <v>4583.33333333333</v>
      </c>
      <c r="Q20" s="89" t="n">
        <f aca="false">SUMIFS(Openings_Table[[Initial One-Time Fee]:[Initial One-Time Fee]],Openings_Table[[Country]:[Country]],"Saudi_Arabia",Openings_Table[[Opening Date]:[Opening Date]],"&lt;"&amp;Q8)/(12*10)</f>
        <v>4583.33333333333</v>
      </c>
      <c r="R20" s="89" t="n">
        <f aca="false">SUMIFS(Openings_Table[[Initial One-Time Fee]:[Initial One-Time Fee]],Openings_Table[[Country]:[Country]],"Saudi_Arabia",Openings_Table[[Opening Date]:[Opening Date]],"&lt;"&amp;R8)/(12*10)</f>
        <v>4583.33333333333</v>
      </c>
      <c r="S20" s="89" t="n">
        <f aca="false">SUMIFS(Openings_Table[[Initial One-Time Fee]:[Initial One-Time Fee]],Openings_Table[[Country]:[Country]],"Saudi_Arabia",Openings_Table[[Opening Date]:[Opening Date]],"&lt;"&amp;S8)/(12*10)</f>
        <v>4583.33333333333</v>
      </c>
      <c r="T20" s="89" t="n">
        <f aca="false">SUMIFS(Openings_Table[[Initial One-Time Fee]:[Initial One-Time Fee]],Openings_Table[[Country]:[Country]],"Saudi_Arabia",Openings_Table[[Opening Date]:[Opening Date]],"&lt;"&amp;T8)/(12*10)</f>
        <v>4583.33333333333</v>
      </c>
      <c r="U20" s="89" t="n">
        <f aca="false">SUMIFS(Openings_Table[[Initial One-Time Fee]:[Initial One-Time Fee]],Openings_Table[[Country]:[Country]],"Saudi_Arabia",Openings_Table[[Opening Date]:[Opening Date]],"&lt;"&amp;U8)/(12*10)</f>
        <v>4583.33333333333</v>
      </c>
      <c r="V20" s="89" t="n">
        <f aca="false">SUMIFS(Openings_Table[[Initial One-Time Fee]:[Initial One-Time Fee]],Openings_Table[[Country]:[Country]],"Saudi_Arabia",Openings_Table[[Opening Date]:[Opening Date]],"&lt;"&amp;V8)/(12*10)</f>
        <v>4583.33333333333</v>
      </c>
      <c r="W20" s="89" t="n">
        <f aca="false">SUMIFS(Openings_Table[[Initial One-Time Fee]:[Initial One-Time Fee]],Openings_Table[[Country]:[Country]],"Saudi_Arabia",Openings_Table[[Opening Date]:[Opening Date]],"&lt;"&amp;W8)/(12*10)</f>
        <v>4583.33333333333</v>
      </c>
      <c r="X20" s="89" t="n">
        <f aca="false">SUMIFS(Openings_Table[[Initial One-Time Fee]:[Initial One-Time Fee]],Openings_Table[[Country]:[Country]],"Saudi_Arabia",Openings_Table[[Opening Date]:[Opening Date]],"&lt;"&amp;X8)/(12*10)</f>
        <v>4583.33333333333</v>
      </c>
      <c r="Y20" s="89" t="n">
        <f aca="false">SUMIFS(Openings_Table[[Initial One-Time Fee]:[Initial One-Time Fee]],Openings_Table[[Country]:[Country]],"Saudi_Arabia",Openings_Table[[Opening Date]:[Opening Date]],"&lt;"&amp;Y8)/(12*10)</f>
        <v>4583.33333333333</v>
      </c>
      <c r="Z20" s="89" t="n">
        <f aca="false">SUMIFS(Openings_Table[[Initial One-Time Fee]:[Initial One-Time Fee]],Openings_Table[[Country]:[Country]],"Saudi_Arabia",Openings_Table[[Opening Date]:[Opening Date]],"&lt;"&amp;Z8)/(12*10)</f>
        <v>4583.33333333333</v>
      </c>
      <c r="AA20" s="89" t="n">
        <f aca="false">SUMIFS(Openings_Table[[Initial One-Time Fee]:[Initial One-Time Fee]],Openings_Table[[Country]:[Country]],"Saudi_Arabia",Openings_Table[[Opening Date]:[Opening Date]],"&lt;"&amp;AA8)/(12*10)</f>
        <v>4583.33333333333</v>
      </c>
      <c r="AB20" s="89" t="n">
        <f aca="false">SUMIFS(Openings_Table[[Initial One-Time Fee]:[Initial One-Time Fee]],Openings_Table[[Country]:[Country]],"Saudi_Arabia",Openings_Table[[Opening Date]:[Opening Date]],"&lt;"&amp;AB8)/(12*10)</f>
        <v>4583.33333333333</v>
      </c>
      <c r="AC20" s="89" t="n">
        <f aca="false">SUMIFS(Openings_Table[[Initial One-Time Fee]:[Initial One-Time Fee]],Openings_Table[[Country]:[Country]],"Saudi_Arabia",Openings_Table[[Opening Date]:[Opening Date]],"&lt;"&amp;AC8)/(12*10)</f>
        <v>4583.33333333333</v>
      </c>
      <c r="AD20" s="89" t="n">
        <f aca="false">SUMIFS(Openings_Table[[Initial One-Time Fee]:[Initial One-Time Fee]],Openings_Table[[Country]:[Country]],"Saudi_Arabia",Openings_Table[[Opening Date]:[Opening Date]],"&lt;"&amp;AD8)/(12*10)</f>
        <v>4583.33333333333</v>
      </c>
      <c r="AE20" s="89" t="n">
        <f aca="false">SUMIFS(Openings_Table[[Initial One-Time Fee]:[Initial One-Time Fee]],Openings_Table[[Country]:[Country]],"Saudi_Arabia",Openings_Table[[Opening Date]:[Opening Date]],"&lt;"&amp;AE8)/(12*10)</f>
        <v>4583.33333333333</v>
      </c>
      <c r="AF20" s="89" t="n">
        <f aca="false">SUMIFS(Openings_Table[[Initial One-Time Fee]:[Initial One-Time Fee]],Openings_Table[[Country]:[Country]],"Saudi_Arabia",Openings_Table[[Opening Date]:[Opening Date]],"&lt;"&amp;AF8)/(12*10)</f>
        <v>4583.33333333333</v>
      </c>
      <c r="AG20" s="89" t="n">
        <f aca="false">SUMIFS(Openings_Table[[Initial One-Time Fee]:[Initial One-Time Fee]],Openings_Table[[Country]:[Country]],"Saudi_Arabia",Openings_Table[[Opening Date]:[Opening Date]],"&lt;"&amp;AG8)/(12*10)</f>
        <v>4583.33333333333</v>
      </c>
      <c r="AH20" s="89" t="n">
        <f aca="false">SUMIFS(Openings_Table[[Initial One-Time Fee]:[Initial One-Time Fee]],Openings_Table[[Country]:[Country]],"Saudi_Arabia",Openings_Table[[Opening Date]:[Opening Date]],"&lt;"&amp;AH8)/(12*10)</f>
        <v>4583.33333333333</v>
      </c>
      <c r="AI20" s="89" t="n">
        <f aca="false">SUMIFS(Openings_Table[[Initial One-Time Fee]:[Initial One-Time Fee]],Openings_Table[[Country]:[Country]],"Saudi_Arabia",Openings_Table[[Opening Date]:[Opening Date]],"&lt;"&amp;AI8)/(12*10)</f>
        <v>4583.33333333333</v>
      </c>
      <c r="AJ20" s="89" t="n">
        <f aca="false">SUMIFS(Openings_Table[[Initial One-Time Fee]:[Initial One-Time Fee]],Openings_Table[[Country]:[Country]],"Saudi_Arabia",Openings_Table[[Opening Date]:[Opening Date]],"&lt;"&amp;AJ8)/(12*10)</f>
        <v>4583.33333333333</v>
      </c>
      <c r="AK20" s="89" t="n">
        <f aca="false">SUMIFS(Openings_Table[[Initial One-Time Fee]:[Initial One-Time Fee]],Openings_Table[[Country]:[Country]],"Saudi_Arabia",Openings_Table[[Opening Date]:[Opening Date]],"&lt;"&amp;AK8)/(12*10)</f>
        <v>4583.33333333333</v>
      </c>
      <c r="AL20" s="89" t="n">
        <f aca="false">SUMIFS(Openings_Table[[Initial One-Time Fee]:[Initial One-Time Fee]],Openings_Table[[Country]:[Country]],"Saudi_Arabia",Openings_Table[[Opening Date]:[Opening Date]],"&lt;"&amp;AL8)/(12*10)</f>
        <v>4583.33333333333</v>
      </c>
      <c r="AM20" s="89" t="n">
        <f aca="false">SUMIFS(Openings_Table[[Initial One-Time Fee]:[Initial One-Time Fee]],Openings_Table[[Country]:[Country]],"Saudi_Arabia",Openings_Table[[Opening Date]:[Opening Date]],"&lt;"&amp;AM8)/(12*10)</f>
        <v>4583.33333333333</v>
      </c>
      <c r="AN20" s="89" t="n">
        <f aca="false">SUMIFS(Openings_Table[[Initial One-Time Fee]:[Initial One-Time Fee]],Openings_Table[[Country]:[Country]],"Saudi_Arabia",Openings_Table[[Opening Date]:[Opening Date]],"&lt;"&amp;AN8)/(12*10)</f>
        <v>4583.33333333333</v>
      </c>
      <c r="AO20" s="89" t="n">
        <f aca="false">SUMIFS(Openings_Table[[Initial One-Time Fee]:[Initial One-Time Fee]],Openings_Table[[Country]:[Country]],"Saudi_Arabia",Openings_Table[[Opening Date]:[Opening Date]],"&lt;"&amp;AO8)/(12*10)</f>
        <v>4583.33333333333</v>
      </c>
      <c r="AP20" s="89" t="n">
        <f aca="false">SUMIFS(Openings_Table[[Initial One-Time Fee]:[Initial One-Time Fee]],Openings_Table[[Country]:[Country]],"Saudi_Arabia",Openings_Table[[Opening Date]:[Opening Date]],"&lt;"&amp;AP8)/(12*10)</f>
        <v>4583.33333333333</v>
      </c>
    </row>
    <row r="21" s="72" customFormat="true" ht="13.5" hidden="false" customHeight="false" outlineLevel="0" collapsed="false">
      <c r="B21" s="87"/>
      <c r="C21" s="87"/>
      <c r="D21" s="88"/>
      <c r="E21" s="79"/>
      <c r="F21" s="79" t="s">
        <v>170</v>
      </c>
      <c r="G21" s="89" t="n">
        <f aca="false">SUMIFS(Openings_Table[[Initial One-Time Fee]:[Initial One-Time Fee]],Openings_Table[[Country]:[Country]],"UAE",Openings_Table[[Opening Date]:[Opening Date]],"&lt;"&amp;G$8)/(12*10)</f>
        <v>0</v>
      </c>
      <c r="H21" s="89" t="n">
        <f aca="false">SUMIFS(Openings_Table[[Initial One-Time Fee]:[Initial One-Time Fee]],Openings_Table[[Country]:[Country]],"UAE",Openings_Table[[Opening Date]:[Opening Date]],"&lt;"&amp;H$8)/(12*10)</f>
        <v>0</v>
      </c>
      <c r="I21" s="89" t="n">
        <f aca="false">SUMIFS(Openings_Table[[Initial One-Time Fee]:[Initial One-Time Fee]],Openings_Table[[Country]:[Country]],"UAE",Openings_Table[[Opening Date]:[Opening Date]],"&lt;"&amp;I$8)/(12*10)</f>
        <v>0</v>
      </c>
      <c r="J21" s="89" t="n">
        <f aca="false">SUMIFS(Openings_Table[[Initial One-Time Fee]:[Initial One-Time Fee]],Openings_Table[[Country]:[Country]],"UAE",Openings_Table[[Opening Date]:[Opening Date]],"&lt;"&amp;J$8)/(12*10)</f>
        <v>0</v>
      </c>
      <c r="K21" s="89" t="n">
        <f aca="false">SUMIFS(Openings_Table[[Initial One-Time Fee]:[Initial One-Time Fee]],Openings_Table[[Country]:[Country]],"UAE",Openings_Table[[Opening Date]:[Opening Date]],"&lt;"&amp;K$8)/(12*10)</f>
        <v>0</v>
      </c>
      <c r="L21" s="89" t="n">
        <f aca="false">SUMIFS(Openings_Table[[Initial One-Time Fee]:[Initial One-Time Fee]],Openings_Table[[Country]:[Country]],"UAE",Openings_Table[[Opening Date]:[Opening Date]],"&lt;"&amp;L$8)/(12*10)</f>
        <v>0</v>
      </c>
      <c r="M21" s="89" t="n">
        <f aca="false">SUMIFS(Openings_Table[[Initial One-Time Fee]:[Initial One-Time Fee]],Openings_Table[[Country]:[Country]],"UAE",Openings_Table[[Opening Date]:[Opening Date]],"&lt;"&amp;M$8)/(12*10)</f>
        <v>0</v>
      </c>
      <c r="N21" s="89" t="n">
        <f aca="false">SUMIFS(Openings_Table[[Initial One-Time Fee]:[Initial One-Time Fee]],Openings_Table[[Country]:[Country]],"UAE",Openings_Table[[Opening Date]:[Opening Date]],"&lt;"&amp;N$8)/(12*10)</f>
        <v>0</v>
      </c>
      <c r="O21" s="89" t="n">
        <f aca="false">SUMIFS(Openings_Table[[Initial One-Time Fee]:[Initial One-Time Fee]],Openings_Table[[Country]:[Country]],"UAE",Openings_Table[[Opening Date]:[Opening Date]],"&lt;"&amp;O$8)/(12*10)</f>
        <v>0</v>
      </c>
      <c r="P21" s="89" t="n">
        <f aca="false">SUMIFS(Openings_Table[[Initial One-Time Fee]:[Initial One-Time Fee]],Openings_Table[[Country]:[Country]],"UAE",Openings_Table[[Opening Date]:[Opening Date]],"&lt;"&amp;P$8)/(12*10)</f>
        <v>0</v>
      </c>
      <c r="Q21" s="89" t="n">
        <f aca="false">SUMIFS(Openings_Table[[Initial One-Time Fee]:[Initial One-Time Fee]],Openings_Table[[Country]:[Country]],"UAE",Openings_Table[[Opening Date]:[Opening Date]],"&lt;"&amp;Q$8)/(12*10)</f>
        <v>3333.33333333333</v>
      </c>
      <c r="R21" s="89" t="n">
        <f aca="false">SUMIFS(Openings_Table[[Initial One-Time Fee]:[Initial One-Time Fee]],Openings_Table[[Country]:[Country]],"UAE",Openings_Table[[Opening Date]:[Opening Date]],"&lt;"&amp;R$8)/(12*10)</f>
        <v>3333.33333333333</v>
      </c>
      <c r="S21" s="89" t="n">
        <f aca="false">SUMIFS(Openings_Table[[Initial One-Time Fee]:[Initial One-Time Fee]],Openings_Table[[Country]:[Country]],"UAE",Openings_Table[[Opening Date]:[Opening Date]],"&lt;"&amp;S$8)/(12*10)</f>
        <v>3333.33333333333</v>
      </c>
      <c r="T21" s="89" t="n">
        <f aca="false">SUMIFS(Openings_Table[[Initial One-Time Fee]:[Initial One-Time Fee]],Openings_Table[[Country]:[Country]],"UAE",Openings_Table[[Opening Date]:[Opening Date]],"&lt;"&amp;T$8)/(12*10)</f>
        <v>3333.33333333333</v>
      </c>
      <c r="U21" s="89" t="n">
        <f aca="false">SUMIFS(Openings_Table[[Initial One-Time Fee]:[Initial One-Time Fee]],Openings_Table[[Country]:[Country]],"UAE",Openings_Table[[Opening Date]:[Opening Date]],"&lt;"&amp;U$8)/(12*10)</f>
        <v>4583.33333333333</v>
      </c>
      <c r="V21" s="89" t="n">
        <f aca="false">SUMIFS(Openings_Table[[Initial One-Time Fee]:[Initial One-Time Fee]],Openings_Table[[Country]:[Country]],"UAE",Openings_Table[[Opening Date]:[Opening Date]],"&lt;"&amp;V$8)/(12*10)</f>
        <v>4583.33333333333</v>
      </c>
      <c r="W21" s="89" t="n">
        <f aca="false">SUMIFS(Openings_Table[[Initial One-Time Fee]:[Initial One-Time Fee]],Openings_Table[[Country]:[Country]],"UAE",Openings_Table[[Opening Date]:[Opening Date]],"&lt;"&amp;W$8)/(12*10)</f>
        <v>5833.33333333333</v>
      </c>
      <c r="X21" s="89" t="n">
        <f aca="false">SUMIFS(Openings_Table[[Initial One-Time Fee]:[Initial One-Time Fee]],Openings_Table[[Country]:[Country]],"UAE",Openings_Table[[Opening Date]:[Opening Date]],"&lt;"&amp;X$8)/(12*10)</f>
        <v>5833.33333333333</v>
      </c>
      <c r="Y21" s="89" t="n">
        <f aca="false">SUMIFS(Openings_Table[[Initial One-Time Fee]:[Initial One-Time Fee]],Openings_Table[[Country]:[Country]],"UAE",Openings_Table[[Opening Date]:[Opening Date]],"&lt;"&amp;Y$8)/(12*10)</f>
        <v>5833.33333333333</v>
      </c>
      <c r="Z21" s="89" t="n">
        <f aca="false">SUMIFS(Openings_Table[[Initial One-Time Fee]:[Initial One-Time Fee]],Openings_Table[[Country]:[Country]],"UAE",Openings_Table[[Opening Date]:[Opening Date]],"&lt;"&amp;Z$8)/(12*10)</f>
        <v>5833.33333333333</v>
      </c>
      <c r="AA21" s="89" t="n">
        <f aca="false">SUMIFS(Openings_Table[[Initial One-Time Fee]:[Initial One-Time Fee]],Openings_Table[[Country]:[Country]],"UAE",Openings_Table[[Opening Date]:[Opening Date]],"&lt;"&amp;AA$8)/(12*10)</f>
        <v>5833.33333333333</v>
      </c>
      <c r="AB21" s="89" t="n">
        <f aca="false">SUMIFS(Openings_Table[[Initial One-Time Fee]:[Initial One-Time Fee]],Openings_Table[[Country]:[Country]],"UAE",Openings_Table[[Opening Date]:[Opening Date]],"&lt;"&amp;AB$8)/(12*10)</f>
        <v>5833.33333333333</v>
      </c>
      <c r="AC21" s="89" t="n">
        <f aca="false">SUMIFS(Openings_Table[[Initial One-Time Fee]:[Initial One-Time Fee]],Openings_Table[[Country]:[Country]],"UAE",Openings_Table[[Opening Date]:[Opening Date]],"&lt;"&amp;AC$8)/(12*10)</f>
        <v>5833.33333333333</v>
      </c>
      <c r="AD21" s="89" t="n">
        <f aca="false">SUMIFS(Openings_Table[[Initial One-Time Fee]:[Initial One-Time Fee]],Openings_Table[[Country]:[Country]],"UAE",Openings_Table[[Opening Date]:[Opening Date]],"&lt;"&amp;AD$8)/(12*10)</f>
        <v>5833.33333333333</v>
      </c>
      <c r="AE21" s="89" t="n">
        <f aca="false">SUMIFS(Openings_Table[[Initial One-Time Fee]:[Initial One-Time Fee]],Openings_Table[[Country]:[Country]],"UAE",Openings_Table[[Opening Date]:[Opening Date]],"&lt;"&amp;AE$8)/(12*10)</f>
        <v>5833.33333333333</v>
      </c>
      <c r="AF21" s="89" t="n">
        <f aca="false">SUMIFS(Openings_Table[[Initial One-Time Fee]:[Initial One-Time Fee]],Openings_Table[[Country]:[Country]],"UAE",Openings_Table[[Opening Date]:[Opening Date]],"&lt;"&amp;AF$8)/(12*10)</f>
        <v>5833.33333333333</v>
      </c>
      <c r="AG21" s="89" t="n">
        <f aca="false">SUMIFS(Openings_Table[[Initial One-Time Fee]:[Initial One-Time Fee]],Openings_Table[[Country]:[Country]],"UAE",Openings_Table[[Opening Date]:[Opening Date]],"&lt;"&amp;AG$8)/(12*10)</f>
        <v>5833.33333333333</v>
      </c>
      <c r="AH21" s="89" t="n">
        <f aca="false">SUMIFS(Openings_Table[[Initial One-Time Fee]:[Initial One-Time Fee]],Openings_Table[[Country]:[Country]],"UAE",Openings_Table[[Opening Date]:[Opening Date]],"&lt;"&amp;AH$8)/(12*10)</f>
        <v>5833.33333333333</v>
      </c>
      <c r="AI21" s="89" t="n">
        <f aca="false">SUMIFS(Openings_Table[[Initial One-Time Fee]:[Initial One-Time Fee]],Openings_Table[[Country]:[Country]],"UAE",Openings_Table[[Opening Date]:[Opening Date]],"&lt;"&amp;AI$8)/(12*10)</f>
        <v>5833.33333333333</v>
      </c>
      <c r="AJ21" s="89" t="n">
        <f aca="false">SUMIFS(Openings_Table[[Initial One-Time Fee]:[Initial One-Time Fee]],Openings_Table[[Country]:[Country]],"UAE",Openings_Table[[Opening Date]:[Opening Date]],"&lt;"&amp;AJ$8)/(12*10)</f>
        <v>5833.33333333333</v>
      </c>
      <c r="AK21" s="89" t="n">
        <f aca="false">SUMIFS(Openings_Table[[Initial One-Time Fee]:[Initial One-Time Fee]],Openings_Table[[Country]:[Country]],"UAE",Openings_Table[[Opening Date]:[Opening Date]],"&lt;"&amp;AK$8)/(12*10)</f>
        <v>5833.33333333333</v>
      </c>
      <c r="AL21" s="89" t="n">
        <f aca="false">SUMIFS(Openings_Table[[Initial One-Time Fee]:[Initial One-Time Fee]],Openings_Table[[Country]:[Country]],"UAE",Openings_Table[[Opening Date]:[Opening Date]],"&lt;"&amp;AL$8)/(12*10)</f>
        <v>5833.33333333333</v>
      </c>
      <c r="AM21" s="89" t="n">
        <f aca="false">SUMIFS(Openings_Table[[Initial One-Time Fee]:[Initial One-Time Fee]],Openings_Table[[Country]:[Country]],"UAE",Openings_Table[[Opening Date]:[Opening Date]],"&lt;"&amp;AM$8)/(12*10)</f>
        <v>5833.33333333333</v>
      </c>
      <c r="AN21" s="89" t="n">
        <f aca="false">SUMIFS(Openings_Table[[Initial One-Time Fee]:[Initial One-Time Fee]],Openings_Table[[Country]:[Country]],"UAE",Openings_Table[[Opening Date]:[Opening Date]],"&lt;"&amp;AN$8)/(12*10)</f>
        <v>5833.33333333333</v>
      </c>
      <c r="AO21" s="89" t="n">
        <f aca="false">SUMIFS(Openings_Table[[Initial One-Time Fee]:[Initial One-Time Fee]],Openings_Table[[Country]:[Country]],"UAE",Openings_Table[[Opening Date]:[Opening Date]],"&lt;"&amp;AO$8)/(12*10)</f>
        <v>5833.33333333333</v>
      </c>
      <c r="AP21" s="89" t="n">
        <f aca="false">SUMIFS(Openings_Table[[Initial One-Time Fee]:[Initial One-Time Fee]],Openings_Table[[Country]:[Country]],"UAE",Openings_Table[[Opening Date]:[Opening Date]],"&lt;"&amp;AP$8)/(12*10)</f>
        <v>5833.33333333333</v>
      </c>
    </row>
    <row r="22" s="72" customFormat="true" ht="13.5" hidden="false" customHeight="false" outlineLevel="0" collapsed="false">
      <c r="B22" s="87"/>
      <c r="C22" s="87"/>
      <c r="D22" s="88"/>
      <c r="E22" s="79"/>
      <c r="F22" s="79" t="s">
        <v>171</v>
      </c>
      <c r="G22" s="89" t="n">
        <f aca="false">SUMIFS(Openings_Table[[Initial One-Time Fee]:[Initial One-Time Fee]],Openings_Table[[Country]:[Country]],"Qatar",Openings_Table[[Opening Date]:[Opening Date]],"&lt;"&amp;G$8)/(12*10)</f>
        <v>0</v>
      </c>
      <c r="H22" s="89" t="n">
        <f aca="false">SUMIFS(Openings_Table[[Initial One-Time Fee]:[Initial One-Time Fee]],Openings_Table[[Country]:[Country]],"Qatar",Openings_Table[[Opening Date]:[Opening Date]],"&lt;"&amp;H$8)/(12*10)</f>
        <v>0</v>
      </c>
      <c r="I22" s="89" t="n">
        <f aca="false">SUMIFS(Openings_Table[[Initial One-Time Fee]:[Initial One-Time Fee]],Openings_Table[[Country]:[Country]],"Qatar",Openings_Table[[Opening Date]:[Opening Date]],"&lt;"&amp;I$8)/(12*10)</f>
        <v>0</v>
      </c>
      <c r="J22" s="89" t="n">
        <f aca="false">SUMIFS(Openings_Table[[Initial One-Time Fee]:[Initial One-Time Fee]],Openings_Table[[Country]:[Country]],"Qatar",Openings_Table[[Opening Date]:[Opening Date]],"&lt;"&amp;J$8)/(12*10)</f>
        <v>0</v>
      </c>
      <c r="K22" s="89" t="n">
        <f aca="false">SUMIFS(Openings_Table[[Initial One-Time Fee]:[Initial One-Time Fee]],Openings_Table[[Country]:[Country]],"Qatar",Openings_Table[[Opening Date]:[Opening Date]],"&lt;"&amp;K$8)/(12*10)</f>
        <v>0</v>
      </c>
      <c r="L22" s="89" t="n">
        <f aca="false">SUMIFS(Openings_Table[[Initial One-Time Fee]:[Initial One-Time Fee]],Openings_Table[[Country]:[Country]],"Qatar",Openings_Table[[Opening Date]:[Opening Date]],"&lt;"&amp;L$8)/(12*10)</f>
        <v>0</v>
      </c>
      <c r="M22" s="89" t="n">
        <f aca="false">SUMIFS(Openings_Table[[Initial One-Time Fee]:[Initial One-Time Fee]],Openings_Table[[Country]:[Country]],"Qatar",Openings_Table[[Opening Date]:[Opening Date]],"&lt;"&amp;M$8)/(12*10)</f>
        <v>0</v>
      </c>
      <c r="N22" s="89" t="n">
        <f aca="false">SUMIFS(Openings_Table[[Initial One-Time Fee]:[Initial One-Time Fee]],Openings_Table[[Country]:[Country]],"Qatar",Openings_Table[[Opening Date]:[Opening Date]],"&lt;"&amp;N$8)/(12*10)</f>
        <v>0</v>
      </c>
      <c r="O22" s="89" t="n">
        <f aca="false">SUMIFS(Openings_Table[[Initial One-Time Fee]:[Initial One-Time Fee]],Openings_Table[[Country]:[Country]],"Qatar",Openings_Table[[Opening Date]:[Opening Date]],"&lt;"&amp;O$8)/(12*10)</f>
        <v>0</v>
      </c>
      <c r="P22" s="89" t="n">
        <f aca="false">SUMIFS(Openings_Table[[Initial One-Time Fee]:[Initial One-Time Fee]],Openings_Table[[Country]:[Country]],"Qatar",Openings_Table[[Opening Date]:[Opening Date]],"&lt;"&amp;P$8)/(12*10)</f>
        <v>3333.33333333333</v>
      </c>
      <c r="Q22" s="89" t="n">
        <f aca="false">SUMIFS(Openings_Table[[Initial One-Time Fee]:[Initial One-Time Fee]],Openings_Table[[Country]:[Country]],"Qatar",Openings_Table[[Opening Date]:[Opening Date]],"&lt;"&amp;Q$8)/(12*10)</f>
        <v>3333.33333333333</v>
      </c>
      <c r="R22" s="89" t="n">
        <f aca="false">SUMIFS(Openings_Table[[Initial One-Time Fee]:[Initial One-Time Fee]],Openings_Table[[Country]:[Country]],"Qatar",Openings_Table[[Opening Date]:[Opening Date]],"&lt;"&amp;R$8)/(12*10)</f>
        <v>3333.33333333333</v>
      </c>
      <c r="S22" s="89" t="n">
        <f aca="false">SUMIFS(Openings_Table[[Initial One-Time Fee]:[Initial One-Time Fee]],Openings_Table[[Country]:[Country]],"Qatar",Openings_Table[[Opening Date]:[Opening Date]],"&lt;"&amp;S$8)/(12*10)</f>
        <v>3333.33333333333</v>
      </c>
      <c r="T22" s="89" t="n">
        <f aca="false">SUMIFS(Openings_Table[[Initial One-Time Fee]:[Initial One-Time Fee]],Openings_Table[[Country]:[Country]],"Qatar",Openings_Table[[Opening Date]:[Opening Date]],"&lt;"&amp;T$8)/(12*10)</f>
        <v>3333.33333333333</v>
      </c>
      <c r="U22" s="89" t="n">
        <f aca="false">SUMIFS(Openings_Table[[Initial One-Time Fee]:[Initial One-Time Fee]],Openings_Table[[Country]:[Country]],"Qatar",Openings_Table[[Opening Date]:[Opening Date]],"&lt;"&amp;U$8)/(12*10)</f>
        <v>3333.33333333333</v>
      </c>
      <c r="V22" s="89" t="n">
        <f aca="false">SUMIFS(Openings_Table[[Initial One-Time Fee]:[Initial One-Time Fee]],Openings_Table[[Country]:[Country]],"Qatar",Openings_Table[[Opening Date]:[Opening Date]],"&lt;"&amp;V$8)/(12*10)</f>
        <v>3333.33333333333</v>
      </c>
      <c r="W22" s="89" t="n">
        <f aca="false">SUMIFS(Openings_Table[[Initial One-Time Fee]:[Initial One-Time Fee]],Openings_Table[[Country]:[Country]],"Qatar",Openings_Table[[Opening Date]:[Opening Date]],"&lt;"&amp;W$8)/(12*10)</f>
        <v>3333.33333333333</v>
      </c>
      <c r="X22" s="89" t="n">
        <f aca="false">SUMIFS(Openings_Table[[Initial One-Time Fee]:[Initial One-Time Fee]],Openings_Table[[Country]:[Country]],"Qatar",Openings_Table[[Opening Date]:[Opening Date]],"&lt;"&amp;X$8)/(12*10)</f>
        <v>3333.33333333333</v>
      </c>
      <c r="Y22" s="89" t="n">
        <f aca="false">SUMIFS(Openings_Table[[Initial One-Time Fee]:[Initial One-Time Fee]],Openings_Table[[Country]:[Country]],"Qatar",Openings_Table[[Opening Date]:[Opening Date]],"&lt;"&amp;Y$8)/(12*10)</f>
        <v>3333.33333333333</v>
      </c>
      <c r="Z22" s="89" t="n">
        <f aca="false">SUMIFS(Openings_Table[[Initial One-Time Fee]:[Initial One-Time Fee]],Openings_Table[[Country]:[Country]],"Qatar",Openings_Table[[Opening Date]:[Opening Date]],"&lt;"&amp;Z$8)/(12*10)</f>
        <v>3333.33333333333</v>
      </c>
      <c r="AA22" s="89" t="n">
        <f aca="false">SUMIFS(Openings_Table[[Initial One-Time Fee]:[Initial One-Time Fee]],Openings_Table[[Country]:[Country]],"Qatar",Openings_Table[[Opening Date]:[Opening Date]],"&lt;"&amp;AA$8)/(12*10)</f>
        <v>3333.33333333333</v>
      </c>
      <c r="AB22" s="89" t="n">
        <f aca="false">SUMIFS(Openings_Table[[Initial One-Time Fee]:[Initial One-Time Fee]],Openings_Table[[Country]:[Country]],"Qatar",Openings_Table[[Opening Date]:[Opening Date]],"&lt;"&amp;AB$8)/(12*10)</f>
        <v>3333.33333333333</v>
      </c>
      <c r="AC22" s="89" t="n">
        <f aca="false">SUMIFS(Openings_Table[[Initial One-Time Fee]:[Initial One-Time Fee]],Openings_Table[[Country]:[Country]],"Qatar",Openings_Table[[Opening Date]:[Opening Date]],"&lt;"&amp;AC$8)/(12*10)</f>
        <v>3333.33333333333</v>
      </c>
      <c r="AD22" s="89" t="n">
        <f aca="false">SUMIFS(Openings_Table[[Initial One-Time Fee]:[Initial One-Time Fee]],Openings_Table[[Country]:[Country]],"Qatar",Openings_Table[[Opening Date]:[Opening Date]],"&lt;"&amp;AD$8)/(12*10)</f>
        <v>3333.33333333333</v>
      </c>
      <c r="AE22" s="89" t="n">
        <f aca="false">SUMIFS(Openings_Table[[Initial One-Time Fee]:[Initial One-Time Fee]],Openings_Table[[Country]:[Country]],"Qatar",Openings_Table[[Opening Date]:[Opening Date]],"&lt;"&amp;AE$8)/(12*10)</f>
        <v>3333.33333333333</v>
      </c>
      <c r="AF22" s="89" t="n">
        <f aca="false">SUMIFS(Openings_Table[[Initial One-Time Fee]:[Initial One-Time Fee]],Openings_Table[[Country]:[Country]],"Qatar",Openings_Table[[Opening Date]:[Opening Date]],"&lt;"&amp;AF$8)/(12*10)</f>
        <v>3333.33333333333</v>
      </c>
      <c r="AG22" s="89" t="n">
        <f aca="false">SUMIFS(Openings_Table[[Initial One-Time Fee]:[Initial One-Time Fee]],Openings_Table[[Country]:[Country]],"Qatar",Openings_Table[[Opening Date]:[Opening Date]],"&lt;"&amp;AG$8)/(12*10)</f>
        <v>3333.33333333333</v>
      </c>
      <c r="AH22" s="89" t="n">
        <f aca="false">SUMIFS(Openings_Table[[Initial One-Time Fee]:[Initial One-Time Fee]],Openings_Table[[Country]:[Country]],"Qatar",Openings_Table[[Opening Date]:[Opening Date]],"&lt;"&amp;AH$8)/(12*10)</f>
        <v>3333.33333333333</v>
      </c>
      <c r="AI22" s="89" t="n">
        <f aca="false">SUMIFS(Openings_Table[[Initial One-Time Fee]:[Initial One-Time Fee]],Openings_Table[[Country]:[Country]],"Qatar",Openings_Table[[Opening Date]:[Opening Date]],"&lt;"&amp;AI$8)/(12*10)</f>
        <v>3333.33333333333</v>
      </c>
      <c r="AJ22" s="89" t="n">
        <f aca="false">SUMIFS(Openings_Table[[Initial One-Time Fee]:[Initial One-Time Fee]],Openings_Table[[Country]:[Country]],"Qatar",Openings_Table[[Opening Date]:[Opening Date]],"&lt;"&amp;AJ$8)/(12*10)</f>
        <v>3333.33333333333</v>
      </c>
      <c r="AK22" s="89" t="n">
        <f aca="false">SUMIFS(Openings_Table[[Initial One-Time Fee]:[Initial One-Time Fee]],Openings_Table[[Country]:[Country]],"Qatar",Openings_Table[[Opening Date]:[Opening Date]],"&lt;"&amp;AK$8)/(12*10)</f>
        <v>3333.33333333333</v>
      </c>
      <c r="AL22" s="89" t="n">
        <f aca="false">SUMIFS(Openings_Table[[Initial One-Time Fee]:[Initial One-Time Fee]],Openings_Table[[Country]:[Country]],"Qatar",Openings_Table[[Opening Date]:[Opening Date]],"&lt;"&amp;AL$8)/(12*10)</f>
        <v>3333.33333333333</v>
      </c>
      <c r="AM22" s="89" t="n">
        <f aca="false">SUMIFS(Openings_Table[[Initial One-Time Fee]:[Initial One-Time Fee]],Openings_Table[[Country]:[Country]],"Qatar",Openings_Table[[Opening Date]:[Opening Date]],"&lt;"&amp;AM$8)/(12*10)</f>
        <v>3333.33333333333</v>
      </c>
      <c r="AN22" s="89" t="n">
        <f aca="false">SUMIFS(Openings_Table[[Initial One-Time Fee]:[Initial One-Time Fee]],Openings_Table[[Country]:[Country]],"Qatar",Openings_Table[[Opening Date]:[Opening Date]],"&lt;"&amp;AN$8)/(12*10)</f>
        <v>3333.33333333333</v>
      </c>
      <c r="AO22" s="89" t="n">
        <f aca="false">SUMIFS(Openings_Table[[Initial One-Time Fee]:[Initial One-Time Fee]],Openings_Table[[Country]:[Country]],"Qatar",Openings_Table[[Opening Date]:[Opening Date]],"&lt;"&amp;AO$8)/(12*10)</f>
        <v>3333.33333333333</v>
      </c>
      <c r="AP22" s="89" t="n">
        <f aca="false">SUMIFS(Openings_Table[[Initial One-Time Fee]:[Initial One-Time Fee]],Openings_Table[[Country]:[Country]],"Qatar",Openings_Table[[Opening Date]:[Opening Date]],"&lt;"&amp;AP$8)/(12*10)</f>
        <v>3333.33333333333</v>
      </c>
    </row>
    <row r="23" s="72" customFormat="true" ht="13.5" hidden="false" customHeight="false" outlineLevel="0" collapsed="false">
      <c r="B23" s="87"/>
      <c r="C23" s="87"/>
      <c r="D23" s="88"/>
      <c r="E23" s="79"/>
      <c r="F23" s="79" t="s">
        <v>172</v>
      </c>
      <c r="G23" s="89" t="n">
        <f aca="false">SUMIFS(Openings_Table[[Initial One-Time Fee]:[Initial One-Time Fee]],Openings_Table[[Country]:[Country]],"Kuwait",Openings_Table[[Opening Date]:[Opening Date]],"&lt;"&amp;G$8)/(12*10)</f>
        <v>0</v>
      </c>
      <c r="H23" s="89" t="n">
        <f aca="false">SUMIFS(Openings_Table[[Initial One-Time Fee]:[Initial One-Time Fee]],Openings_Table[[Country]:[Country]],"Kuwait",Openings_Table[[Opening Date]:[Opening Date]],"&lt;"&amp;H$8)/(12*10)</f>
        <v>0</v>
      </c>
      <c r="I23" s="89" t="n">
        <f aca="false">SUMIFS(Openings_Table[[Initial One-Time Fee]:[Initial One-Time Fee]],Openings_Table[[Country]:[Country]],"Kuwait",Openings_Table[[Opening Date]:[Opening Date]],"&lt;"&amp;I$8)/(12*10)</f>
        <v>0</v>
      </c>
      <c r="J23" s="89" t="n">
        <f aca="false">SUMIFS(Openings_Table[[Initial One-Time Fee]:[Initial One-Time Fee]],Openings_Table[[Country]:[Country]],"Kuwait",Openings_Table[[Opening Date]:[Opening Date]],"&lt;"&amp;J$8)/(12*10)</f>
        <v>0</v>
      </c>
      <c r="K23" s="89" t="n">
        <f aca="false">SUMIFS(Openings_Table[[Initial One-Time Fee]:[Initial One-Time Fee]],Openings_Table[[Country]:[Country]],"Kuwait",Openings_Table[[Opening Date]:[Opening Date]],"&lt;"&amp;K$8)/(12*10)</f>
        <v>0</v>
      </c>
      <c r="L23" s="89" t="n">
        <f aca="false">SUMIFS(Openings_Table[[Initial One-Time Fee]:[Initial One-Time Fee]],Openings_Table[[Country]:[Country]],"Kuwait",Openings_Table[[Opening Date]:[Opening Date]],"&lt;"&amp;L$8)/(12*10)</f>
        <v>0</v>
      </c>
      <c r="M23" s="89" t="n">
        <f aca="false">SUMIFS(Openings_Table[[Initial One-Time Fee]:[Initial One-Time Fee]],Openings_Table[[Country]:[Country]],"Kuwait",Openings_Table[[Opening Date]:[Opening Date]],"&lt;"&amp;M$8)/(12*10)</f>
        <v>0</v>
      </c>
      <c r="N23" s="89" t="n">
        <f aca="false">SUMIFS(Openings_Table[[Initial One-Time Fee]:[Initial One-Time Fee]],Openings_Table[[Country]:[Country]],"Kuwait",Openings_Table[[Opening Date]:[Opening Date]],"&lt;"&amp;N$8)/(12*10)</f>
        <v>0</v>
      </c>
      <c r="O23" s="89" t="n">
        <f aca="false">SUMIFS(Openings_Table[[Initial One-Time Fee]:[Initial One-Time Fee]],Openings_Table[[Country]:[Country]],"Kuwait",Openings_Table[[Opening Date]:[Opening Date]],"&lt;"&amp;O$8)/(12*10)</f>
        <v>0</v>
      </c>
      <c r="P23" s="89" t="n">
        <f aca="false">SUMIFS(Openings_Table[[Initial One-Time Fee]:[Initial One-Time Fee]],Openings_Table[[Country]:[Country]],"Kuwait",Openings_Table[[Opening Date]:[Opening Date]],"&lt;"&amp;P$8)/(12*10)</f>
        <v>0</v>
      </c>
      <c r="Q23" s="89" t="n">
        <f aca="false">SUMIFS(Openings_Table[[Initial One-Time Fee]:[Initial One-Time Fee]],Openings_Table[[Country]:[Country]],"Kuwait",Openings_Table[[Opening Date]:[Opening Date]],"&lt;"&amp;Q$8)/(12*10)</f>
        <v>0</v>
      </c>
      <c r="R23" s="89" t="n">
        <f aca="false">SUMIFS(Openings_Table[[Initial One-Time Fee]:[Initial One-Time Fee]],Openings_Table[[Country]:[Country]],"Kuwait",Openings_Table[[Opening Date]:[Opening Date]],"&lt;"&amp;R$8)/(12*10)</f>
        <v>0</v>
      </c>
      <c r="S23" s="89" t="n">
        <f aca="false">SUMIFS(Openings_Table[[Initial One-Time Fee]:[Initial One-Time Fee]],Openings_Table[[Country]:[Country]],"Kuwait",Openings_Table[[Opening Date]:[Opening Date]],"&lt;"&amp;S$8)/(12*10)</f>
        <v>0</v>
      </c>
      <c r="T23" s="89" t="n">
        <f aca="false">SUMIFS(Openings_Table[[Initial One-Time Fee]:[Initial One-Time Fee]],Openings_Table[[Country]:[Country]],"Kuwait",Openings_Table[[Opening Date]:[Opening Date]],"&lt;"&amp;T$8)/(12*10)</f>
        <v>0</v>
      </c>
      <c r="U23" s="89" t="n">
        <f aca="false">SUMIFS(Openings_Table[[Initial One-Time Fee]:[Initial One-Time Fee]],Openings_Table[[Country]:[Country]],"Kuwait",Openings_Table[[Opening Date]:[Opening Date]],"&lt;"&amp;U$8)/(12*10)</f>
        <v>0</v>
      </c>
      <c r="V23" s="89" t="n">
        <f aca="false">SUMIFS(Openings_Table[[Initial One-Time Fee]:[Initial One-Time Fee]],Openings_Table[[Country]:[Country]],"Kuwait",Openings_Table[[Opening Date]:[Opening Date]],"&lt;"&amp;V$8)/(12*10)</f>
        <v>0</v>
      </c>
      <c r="W23" s="89" t="n">
        <f aca="false">SUMIFS(Openings_Table[[Initial One-Time Fee]:[Initial One-Time Fee]],Openings_Table[[Country]:[Country]],"Kuwait",Openings_Table[[Opening Date]:[Opening Date]],"&lt;"&amp;W$8)/(12*10)</f>
        <v>0</v>
      </c>
      <c r="X23" s="89" t="n">
        <f aca="false">SUMIFS(Openings_Table[[Initial One-Time Fee]:[Initial One-Time Fee]],Openings_Table[[Country]:[Country]],"Kuwait",Openings_Table[[Opening Date]:[Opening Date]],"&lt;"&amp;X$8)/(12*10)</f>
        <v>0</v>
      </c>
      <c r="Y23" s="89" t="n">
        <f aca="false">SUMIFS(Openings_Table[[Initial One-Time Fee]:[Initial One-Time Fee]],Openings_Table[[Country]:[Country]],"Kuwait",Openings_Table[[Opening Date]:[Opening Date]],"&lt;"&amp;Y$8)/(12*10)</f>
        <v>0</v>
      </c>
      <c r="Z23" s="89" t="n">
        <f aca="false">SUMIFS(Openings_Table[[Initial One-Time Fee]:[Initial One-Time Fee]],Openings_Table[[Country]:[Country]],"Kuwait",Openings_Table[[Opening Date]:[Opening Date]],"&lt;"&amp;Z$8)/(12*10)</f>
        <v>3333.33333333333</v>
      </c>
      <c r="AA23" s="89" t="n">
        <f aca="false">SUMIFS(Openings_Table[[Initial One-Time Fee]:[Initial One-Time Fee]],Openings_Table[[Country]:[Country]],"Kuwait",Openings_Table[[Opening Date]:[Opening Date]],"&lt;"&amp;AA$8)/(12*10)</f>
        <v>3333.33333333333</v>
      </c>
      <c r="AB23" s="89" t="n">
        <f aca="false">SUMIFS(Openings_Table[[Initial One-Time Fee]:[Initial One-Time Fee]],Openings_Table[[Country]:[Country]],"Kuwait",Openings_Table[[Opening Date]:[Opening Date]],"&lt;"&amp;AB$8)/(12*10)</f>
        <v>3333.33333333333</v>
      </c>
      <c r="AC23" s="89" t="n">
        <f aca="false">SUMIFS(Openings_Table[[Initial One-Time Fee]:[Initial One-Time Fee]],Openings_Table[[Country]:[Country]],"Kuwait",Openings_Table[[Opening Date]:[Opening Date]],"&lt;"&amp;AC$8)/(12*10)</f>
        <v>3333.33333333333</v>
      </c>
      <c r="AD23" s="89" t="n">
        <f aca="false">SUMIFS(Openings_Table[[Initial One-Time Fee]:[Initial One-Time Fee]],Openings_Table[[Country]:[Country]],"Kuwait",Openings_Table[[Opening Date]:[Opening Date]],"&lt;"&amp;AD$8)/(12*10)</f>
        <v>3333.33333333333</v>
      </c>
      <c r="AE23" s="89" t="n">
        <f aca="false">SUMIFS(Openings_Table[[Initial One-Time Fee]:[Initial One-Time Fee]],Openings_Table[[Country]:[Country]],"Kuwait",Openings_Table[[Opening Date]:[Opening Date]],"&lt;"&amp;AE$8)/(12*10)</f>
        <v>3333.33333333333</v>
      </c>
      <c r="AF23" s="89" t="n">
        <f aca="false">SUMIFS(Openings_Table[[Initial One-Time Fee]:[Initial One-Time Fee]],Openings_Table[[Country]:[Country]],"Kuwait",Openings_Table[[Opening Date]:[Opening Date]],"&lt;"&amp;AF$8)/(12*10)</f>
        <v>3333.33333333333</v>
      </c>
      <c r="AG23" s="89" t="n">
        <f aca="false">SUMIFS(Openings_Table[[Initial One-Time Fee]:[Initial One-Time Fee]],Openings_Table[[Country]:[Country]],"Kuwait",Openings_Table[[Opening Date]:[Opening Date]],"&lt;"&amp;AG$8)/(12*10)</f>
        <v>3333.33333333333</v>
      </c>
      <c r="AH23" s="89" t="n">
        <f aca="false">SUMIFS(Openings_Table[[Initial One-Time Fee]:[Initial One-Time Fee]],Openings_Table[[Country]:[Country]],"Kuwait",Openings_Table[[Opening Date]:[Opening Date]],"&lt;"&amp;AH$8)/(12*10)</f>
        <v>3333.33333333333</v>
      </c>
      <c r="AI23" s="89" t="n">
        <f aca="false">SUMIFS(Openings_Table[[Initial One-Time Fee]:[Initial One-Time Fee]],Openings_Table[[Country]:[Country]],"Kuwait",Openings_Table[[Opening Date]:[Opening Date]],"&lt;"&amp;AI$8)/(12*10)</f>
        <v>3333.33333333333</v>
      </c>
      <c r="AJ23" s="89" t="n">
        <f aca="false">SUMIFS(Openings_Table[[Initial One-Time Fee]:[Initial One-Time Fee]],Openings_Table[[Country]:[Country]],"Kuwait",Openings_Table[[Opening Date]:[Opening Date]],"&lt;"&amp;AJ$8)/(12*10)</f>
        <v>3333.33333333333</v>
      </c>
      <c r="AK23" s="89" t="n">
        <f aca="false">SUMIFS(Openings_Table[[Initial One-Time Fee]:[Initial One-Time Fee]],Openings_Table[[Country]:[Country]],"Kuwait",Openings_Table[[Opening Date]:[Opening Date]],"&lt;"&amp;AK$8)/(12*10)</f>
        <v>3333.33333333333</v>
      </c>
      <c r="AL23" s="89" t="n">
        <f aca="false">SUMIFS(Openings_Table[[Initial One-Time Fee]:[Initial One-Time Fee]],Openings_Table[[Country]:[Country]],"Kuwait",Openings_Table[[Opening Date]:[Opening Date]],"&lt;"&amp;AL$8)/(12*10)</f>
        <v>3333.33333333333</v>
      </c>
      <c r="AM23" s="89" t="n">
        <f aca="false">SUMIFS(Openings_Table[[Initial One-Time Fee]:[Initial One-Time Fee]],Openings_Table[[Country]:[Country]],"Kuwait",Openings_Table[[Opening Date]:[Opening Date]],"&lt;"&amp;AM$8)/(12*10)</f>
        <v>3333.33333333333</v>
      </c>
      <c r="AN23" s="89" t="n">
        <f aca="false">SUMIFS(Openings_Table[[Initial One-Time Fee]:[Initial One-Time Fee]],Openings_Table[[Country]:[Country]],"Kuwait",Openings_Table[[Opening Date]:[Opening Date]],"&lt;"&amp;AN$8)/(12*10)</f>
        <v>3333.33333333333</v>
      </c>
      <c r="AO23" s="89" t="n">
        <f aca="false">SUMIFS(Openings_Table[[Initial One-Time Fee]:[Initial One-Time Fee]],Openings_Table[[Country]:[Country]],"Kuwait",Openings_Table[[Opening Date]:[Opening Date]],"&lt;"&amp;AO$8)/(12*10)</f>
        <v>3333.33333333333</v>
      </c>
      <c r="AP23" s="89" t="n">
        <f aca="false">SUMIFS(Openings_Table[[Initial One-Time Fee]:[Initial One-Time Fee]],Openings_Table[[Country]:[Country]],"Kuwait",Openings_Table[[Opening Date]:[Opening Date]],"&lt;"&amp;AP$8)/(12*10)</f>
        <v>3333.33333333333</v>
      </c>
    </row>
    <row r="24" s="72" customFormat="true" ht="13.5" hidden="false" customHeight="false" outlineLevel="0" collapsed="false">
      <c r="B24" s="87"/>
      <c r="C24" s="87"/>
      <c r="D24" s="88"/>
      <c r="E24" s="79"/>
      <c r="F24" s="79" t="s">
        <v>173</v>
      </c>
      <c r="G24" s="89" t="n">
        <f aca="false">SUMIFS(Openings_Table[[Initial One-Time Fee]:[Initial One-Time Fee]],Openings_Table[[Country]:[Country]],"Turkey",Openings_Table[[Opening Date]:[Opening Date]],"&lt;"&amp;G$8)/(12*10)</f>
        <v>0</v>
      </c>
      <c r="H24" s="89" t="n">
        <f aca="false">SUMIFS(Openings_Table[[Initial One-Time Fee]:[Initial One-Time Fee]],Openings_Table[[Country]:[Country]],"Turkey",Openings_Table[[Opening Date]:[Opening Date]],"&lt;"&amp;H$8)/(12*10)</f>
        <v>0</v>
      </c>
      <c r="I24" s="89" t="n">
        <f aca="false">SUMIFS(Openings_Table[[Initial One-Time Fee]:[Initial One-Time Fee]],Openings_Table[[Country]:[Country]],"Turkey",Openings_Table[[Opening Date]:[Opening Date]],"&lt;"&amp;I$8)/(12*10)</f>
        <v>0</v>
      </c>
      <c r="J24" s="89" t="n">
        <f aca="false">SUMIFS(Openings_Table[[Initial One-Time Fee]:[Initial One-Time Fee]],Openings_Table[[Country]:[Country]],"Turkey",Openings_Table[[Opening Date]:[Opening Date]],"&lt;"&amp;J$8)/(12*10)</f>
        <v>0</v>
      </c>
      <c r="K24" s="89" t="n">
        <f aca="false">SUMIFS(Openings_Table[[Initial One-Time Fee]:[Initial One-Time Fee]],Openings_Table[[Country]:[Country]],"Turkey",Openings_Table[[Opening Date]:[Opening Date]],"&lt;"&amp;K$8)/(12*10)</f>
        <v>0</v>
      </c>
      <c r="L24" s="89" t="n">
        <f aca="false">SUMIFS(Openings_Table[[Initial One-Time Fee]:[Initial One-Time Fee]],Openings_Table[[Country]:[Country]],"Turkey",Openings_Table[[Opening Date]:[Opening Date]],"&lt;"&amp;L$8)/(12*10)</f>
        <v>0</v>
      </c>
      <c r="M24" s="89" t="n">
        <f aca="false">SUMIFS(Openings_Table[[Initial One-Time Fee]:[Initial One-Time Fee]],Openings_Table[[Country]:[Country]],"Turkey",Openings_Table[[Opening Date]:[Opening Date]],"&lt;"&amp;M$8)/(12*10)</f>
        <v>0</v>
      </c>
      <c r="N24" s="89" t="n">
        <f aca="false">SUMIFS(Openings_Table[[Initial One-Time Fee]:[Initial One-Time Fee]],Openings_Table[[Country]:[Country]],"Turkey",Openings_Table[[Opening Date]:[Opening Date]],"&lt;"&amp;N$8)/(12*10)</f>
        <v>0</v>
      </c>
      <c r="O24" s="89" t="n">
        <f aca="false">SUMIFS(Openings_Table[[Initial One-Time Fee]:[Initial One-Time Fee]],Openings_Table[[Country]:[Country]],"Turkey",Openings_Table[[Opening Date]:[Opening Date]],"&lt;"&amp;O$8)/(12*10)</f>
        <v>0</v>
      </c>
      <c r="P24" s="89" t="n">
        <f aca="false">SUMIFS(Openings_Table[[Initial One-Time Fee]:[Initial One-Time Fee]],Openings_Table[[Country]:[Country]],"Turkey",Openings_Table[[Opening Date]:[Opening Date]],"&lt;"&amp;P$8)/(12*10)</f>
        <v>0</v>
      </c>
      <c r="Q24" s="89" t="n">
        <f aca="false">SUMIFS(Openings_Table[[Initial One-Time Fee]:[Initial One-Time Fee]],Openings_Table[[Country]:[Country]],"Turkey",Openings_Table[[Opening Date]:[Opening Date]],"&lt;"&amp;Q$8)/(12*10)</f>
        <v>0</v>
      </c>
      <c r="R24" s="89" t="n">
        <f aca="false">SUMIFS(Openings_Table[[Initial One-Time Fee]:[Initial One-Time Fee]],Openings_Table[[Country]:[Country]],"Turkey",Openings_Table[[Opening Date]:[Opening Date]],"&lt;"&amp;R$8)/(12*10)</f>
        <v>0</v>
      </c>
      <c r="S24" s="89" t="n">
        <f aca="false">SUMIFS(Openings_Table[[Initial One-Time Fee]:[Initial One-Time Fee]],Openings_Table[[Country]:[Country]],"Turkey",Openings_Table[[Opening Date]:[Opening Date]],"&lt;"&amp;S$8)/(12*10)</f>
        <v>0</v>
      </c>
      <c r="T24" s="89" t="n">
        <f aca="false">SUMIFS(Openings_Table[[Initial One-Time Fee]:[Initial One-Time Fee]],Openings_Table[[Country]:[Country]],"Turkey",Openings_Table[[Opening Date]:[Opening Date]],"&lt;"&amp;T$8)/(12*10)</f>
        <v>0</v>
      </c>
      <c r="U24" s="89" t="n">
        <f aca="false">SUMIFS(Openings_Table[[Initial One-Time Fee]:[Initial One-Time Fee]],Openings_Table[[Country]:[Country]],"Turkey",Openings_Table[[Opening Date]:[Opening Date]],"&lt;"&amp;U$8)/(12*10)</f>
        <v>0</v>
      </c>
      <c r="V24" s="89" t="n">
        <f aca="false">SUMIFS(Openings_Table[[Initial One-Time Fee]:[Initial One-Time Fee]],Openings_Table[[Country]:[Country]],"Turkey",Openings_Table[[Opening Date]:[Opening Date]],"&lt;"&amp;V$8)/(12*10)</f>
        <v>0</v>
      </c>
      <c r="W24" s="89" t="n">
        <f aca="false">SUMIFS(Openings_Table[[Initial One-Time Fee]:[Initial One-Time Fee]],Openings_Table[[Country]:[Country]],"Turkey",Openings_Table[[Opening Date]:[Opening Date]],"&lt;"&amp;W$8)/(12*10)</f>
        <v>0</v>
      </c>
      <c r="X24" s="89" t="n">
        <f aca="false">SUMIFS(Openings_Table[[Initial One-Time Fee]:[Initial One-Time Fee]],Openings_Table[[Country]:[Country]],"Turkey",Openings_Table[[Opening Date]:[Opening Date]],"&lt;"&amp;X$8)/(12*10)</f>
        <v>0</v>
      </c>
      <c r="Y24" s="89" t="n">
        <f aca="false">SUMIFS(Openings_Table[[Initial One-Time Fee]:[Initial One-Time Fee]],Openings_Table[[Country]:[Country]],"Turkey",Openings_Table[[Opening Date]:[Opening Date]],"&lt;"&amp;Y$8)/(12*10)</f>
        <v>0</v>
      </c>
      <c r="Z24" s="89" t="n">
        <f aca="false">SUMIFS(Openings_Table[[Initial One-Time Fee]:[Initial One-Time Fee]],Openings_Table[[Country]:[Country]],"Turkey",Openings_Table[[Opening Date]:[Opening Date]],"&lt;"&amp;Z$8)/(12*10)</f>
        <v>0</v>
      </c>
      <c r="AA24" s="89" t="n">
        <f aca="false">SUMIFS(Openings_Table[[Initial One-Time Fee]:[Initial One-Time Fee]],Openings_Table[[Country]:[Country]],"Turkey",Openings_Table[[Opening Date]:[Opening Date]],"&lt;"&amp;AA$8)/(12*10)</f>
        <v>0</v>
      </c>
      <c r="AB24" s="89" t="n">
        <f aca="false">SUMIFS(Openings_Table[[Initial One-Time Fee]:[Initial One-Time Fee]],Openings_Table[[Country]:[Country]],"Turkey",Openings_Table[[Opening Date]:[Opening Date]],"&lt;"&amp;AB$8)/(12*10)</f>
        <v>0</v>
      </c>
      <c r="AC24" s="89" t="n">
        <f aca="false">SUMIFS(Openings_Table[[Initial One-Time Fee]:[Initial One-Time Fee]],Openings_Table[[Country]:[Country]],"Turkey",Openings_Table[[Opening Date]:[Opening Date]],"&lt;"&amp;AC$8)/(12*10)</f>
        <v>0</v>
      </c>
      <c r="AD24" s="89" t="n">
        <f aca="false">SUMIFS(Openings_Table[[Initial One-Time Fee]:[Initial One-Time Fee]],Openings_Table[[Country]:[Country]],"Turkey",Openings_Table[[Opening Date]:[Opening Date]],"&lt;"&amp;AD$8)/(12*10)</f>
        <v>3333.33333333333</v>
      </c>
      <c r="AE24" s="89" t="n">
        <f aca="false">SUMIFS(Openings_Table[[Initial One-Time Fee]:[Initial One-Time Fee]],Openings_Table[[Country]:[Country]],"Turkey",Openings_Table[[Opening Date]:[Opening Date]],"&lt;"&amp;AE$8)/(12*10)</f>
        <v>3333.33333333333</v>
      </c>
      <c r="AF24" s="89" t="n">
        <f aca="false">SUMIFS(Openings_Table[[Initial One-Time Fee]:[Initial One-Time Fee]],Openings_Table[[Country]:[Country]],"Turkey",Openings_Table[[Opening Date]:[Opening Date]],"&lt;"&amp;AF$8)/(12*10)</f>
        <v>3333.33333333333</v>
      </c>
      <c r="AG24" s="89" t="n">
        <f aca="false">SUMIFS(Openings_Table[[Initial One-Time Fee]:[Initial One-Time Fee]],Openings_Table[[Country]:[Country]],"Turkey",Openings_Table[[Opening Date]:[Opening Date]],"&lt;"&amp;AG$8)/(12*10)</f>
        <v>3333.33333333333</v>
      </c>
      <c r="AH24" s="89" t="n">
        <f aca="false">SUMIFS(Openings_Table[[Initial One-Time Fee]:[Initial One-Time Fee]],Openings_Table[[Country]:[Country]],"Turkey",Openings_Table[[Opening Date]:[Opening Date]],"&lt;"&amp;AH$8)/(12*10)</f>
        <v>3333.33333333333</v>
      </c>
      <c r="AI24" s="89" t="n">
        <f aca="false">SUMIFS(Openings_Table[[Initial One-Time Fee]:[Initial One-Time Fee]],Openings_Table[[Country]:[Country]],"Turkey",Openings_Table[[Opening Date]:[Opening Date]],"&lt;"&amp;AI$8)/(12*10)</f>
        <v>3333.33333333333</v>
      </c>
      <c r="AJ24" s="89" t="n">
        <f aca="false">SUMIFS(Openings_Table[[Initial One-Time Fee]:[Initial One-Time Fee]],Openings_Table[[Country]:[Country]],"Turkey",Openings_Table[[Opening Date]:[Opening Date]],"&lt;"&amp;AJ$8)/(12*10)</f>
        <v>3333.33333333333</v>
      </c>
      <c r="AK24" s="89" t="n">
        <f aca="false">SUMIFS(Openings_Table[[Initial One-Time Fee]:[Initial One-Time Fee]],Openings_Table[[Country]:[Country]],"Turkey",Openings_Table[[Opening Date]:[Opening Date]],"&lt;"&amp;AK$8)/(12*10)</f>
        <v>3333.33333333333</v>
      </c>
      <c r="AL24" s="89" t="n">
        <f aca="false">SUMIFS(Openings_Table[[Initial One-Time Fee]:[Initial One-Time Fee]],Openings_Table[[Country]:[Country]],"Turkey",Openings_Table[[Opening Date]:[Opening Date]],"&lt;"&amp;AL$8)/(12*10)</f>
        <v>3333.33333333333</v>
      </c>
      <c r="AM24" s="89" t="n">
        <f aca="false">SUMIFS(Openings_Table[[Initial One-Time Fee]:[Initial One-Time Fee]],Openings_Table[[Country]:[Country]],"Turkey",Openings_Table[[Opening Date]:[Opening Date]],"&lt;"&amp;AM$8)/(12*10)</f>
        <v>3333.33333333333</v>
      </c>
      <c r="AN24" s="89" t="n">
        <f aca="false">SUMIFS(Openings_Table[[Initial One-Time Fee]:[Initial One-Time Fee]],Openings_Table[[Country]:[Country]],"Turkey",Openings_Table[[Opening Date]:[Opening Date]],"&lt;"&amp;AN$8)/(12*10)</f>
        <v>3333.33333333333</v>
      </c>
      <c r="AO24" s="89" t="n">
        <f aca="false">SUMIFS(Openings_Table[[Initial One-Time Fee]:[Initial One-Time Fee]],Openings_Table[[Country]:[Country]],"Turkey",Openings_Table[[Opening Date]:[Opening Date]],"&lt;"&amp;AO$8)/(12*10)</f>
        <v>3333.33333333333</v>
      </c>
      <c r="AP24" s="89" t="n">
        <f aca="false">SUMIFS(Openings_Table[[Initial One-Time Fee]:[Initial One-Time Fee]],Openings_Table[[Country]:[Country]],"Turkey",Openings_Table[[Opening Date]:[Opening Date]],"&lt;"&amp;AP$8)/(12*10)</f>
        <v>3333.33333333333</v>
      </c>
    </row>
    <row r="25" s="72" customFormat="true" ht="13.5" hidden="false" customHeight="false" outlineLevel="0" collapsed="false">
      <c r="B25" s="87"/>
      <c r="C25" s="87"/>
      <c r="D25" s="88"/>
      <c r="E25" s="79"/>
      <c r="F25" s="79" t="s">
        <v>174</v>
      </c>
      <c r="G25" s="89" t="n">
        <f aca="false">SUMIFS(Openings_Table[[Initial One-Time Fee]:[Initial One-Time Fee]],Openings_Table[[Country]:[Country]],"Morocco",Openings_Table[[Opening Date]:[Opening Date]],"&lt;"&amp;G$8)/(12*10)</f>
        <v>0</v>
      </c>
      <c r="H25" s="89" t="n">
        <f aca="false">SUMIFS(Openings_Table[[Initial One-Time Fee]:[Initial One-Time Fee]],Openings_Table[[Country]:[Country]],"Morocco",Openings_Table[[Opening Date]:[Opening Date]],"&lt;"&amp;H$8)/(12*10)</f>
        <v>0</v>
      </c>
      <c r="I25" s="89" t="n">
        <f aca="false">SUMIFS(Openings_Table[[Initial One-Time Fee]:[Initial One-Time Fee]],Openings_Table[[Country]:[Country]],"Morocco",Openings_Table[[Opening Date]:[Opening Date]],"&lt;"&amp;I$8)/(12*10)</f>
        <v>0</v>
      </c>
      <c r="J25" s="89" t="n">
        <f aca="false">SUMIFS(Openings_Table[[Initial One-Time Fee]:[Initial One-Time Fee]],Openings_Table[[Country]:[Country]],"Morocco",Openings_Table[[Opening Date]:[Opening Date]],"&lt;"&amp;J$8)/(12*10)</f>
        <v>0</v>
      </c>
      <c r="K25" s="89" t="n">
        <f aca="false">SUMIFS(Openings_Table[[Initial One-Time Fee]:[Initial One-Time Fee]],Openings_Table[[Country]:[Country]],"Morocco",Openings_Table[[Opening Date]:[Opening Date]],"&lt;"&amp;K$8)/(12*10)</f>
        <v>0</v>
      </c>
      <c r="L25" s="89" t="n">
        <f aca="false">SUMIFS(Openings_Table[[Initial One-Time Fee]:[Initial One-Time Fee]],Openings_Table[[Country]:[Country]],"Morocco",Openings_Table[[Opening Date]:[Opening Date]],"&lt;"&amp;L$8)/(12*10)</f>
        <v>0</v>
      </c>
      <c r="M25" s="89" t="n">
        <f aca="false">SUMIFS(Openings_Table[[Initial One-Time Fee]:[Initial One-Time Fee]],Openings_Table[[Country]:[Country]],"Morocco",Openings_Table[[Opening Date]:[Opening Date]],"&lt;"&amp;M$8)/(12*10)</f>
        <v>0</v>
      </c>
      <c r="N25" s="89" t="n">
        <f aca="false">SUMIFS(Openings_Table[[Initial One-Time Fee]:[Initial One-Time Fee]],Openings_Table[[Country]:[Country]],"Morocco",Openings_Table[[Opening Date]:[Opening Date]],"&lt;"&amp;N$8)/(12*10)</f>
        <v>0</v>
      </c>
      <c r="O25" s="89" t="n">
        <f aca="false">SUMIFS(Openings_Table[[Initial One-Time Fee]:[Initial One-Time Fee]],Openings_Table[[Country]:[Country]],"Morocco",Openings_Table[[Opening Date]:[Opening Date]],"&lt;"&amp;O$8)/(12*10)</f>
        <v>0</v>
      </c>
      <c r="P25" s="89" t="n">
        <f aca="false">SUMIFS(Openings_Table[[Initial One-Time Fee]:[Initial One-Time Fee]],Openings_Table[[Country]:[Country]],"Morocco",Openings_Table[[Opening Date]:[Opening Date]],"&lt;"&amp;P$8)/(12*10)</f>
        <v>0</v>
      </c>
      <c r="Q25" s="89" t="n">
        <f aca="false">SUMIFS(Openings_Table[[Initial One-Time Fee]:[Initial One-Time Fee]],Openings_Table[[Country]:[Country]],"Morocco",Openings_Table[[Opening Date]:[Opening Date]],"&lt;"&amp;Q$8)/(12*10)</f>
        <v>0</v>
      </c>
      <c r="R25" s="89" t="n">
        <f aca="false">SUMIFS(Openings_Table[[Initial One-Time Fee]:[Initial One-Time Fee]],Openings_Table[[Country]:[Country]],"Morocco",Openings_Table[[Opening Date]:[Opening Date]],"&lt;"&amp;R$8)/(12*10)</f>
        <v>0</v>
      </c>
      <c r="S25" s="89" t="n">
        <f aca="false">SUMIFS(Openings_Table[[Initial One-Time Fee]:[Initial One-Time Fee]],Openings_Table[[Country]:[Country]],"Morocco",Openings_Table[[Opening Date]:[Opening Date]],"&lt;"&amp;S$8)/(12*10)</f>
        <v>0</v>
      </c>
      <c r="T25" s="89" t="n">
        <f aca="false">SUMIFS(Openings_Table[[Initial One-Time Fee]:[Initial One-Time Fee]],Openings_Table[[Country]:[Country]],"Morocco",Openings_Table[[Opening Date]:[Opening Date]],"&lt;"&amp;T$8)/(12*10)</f>
        <v>0</v>
      </c>
      <c r="U25" s="89" t="n">
        <f aca="false">SUMIFS(Openings_Table[[Initial One-Time Fee]:[Initial One-Time Fee]],Openings_Table[[Country]:[Country]],"Morocco",Openings_Table[[Opening Date]:[Opening Date]],"&lt;"&amp;U$8)/(12*10)</f>
        <v>0</v>
      </c>
      <c r="V25" s="89" t="n">
        <f aca="false">SUMIFS(Openings_Table[[Initial One-Time Fee]:[Initial One-Time Fee]],Openings_Table[[Country]:[Country]],"Morocco",Openings_Table[[Opening Date]:[Opening Date]],"&lt;"&amp;V$8)/(12*10)</f>
        <v>0</v>
      </c>
      <c r="W25" s="89" t="n">
        <f aca="false">SUMIFS(Openings_Table[[Initial One-Time Fee]:[Initial One-Time Fee]],Openings_Table[[Country]:[Country]],"Morocco",Openings_Table[[Opening Date]:[Opening Date]],"&lt;"&amp;W$8)/(12*10)</f>
        <v>0</v>
      </c>
      <c r="X25" s="89" t="n">
        <f aca="false">SUMIFS(Openings_Table[[Initial One-Time Fee]:[Initial One-Time Fee]],Openings_Table[[Country]:[Country]],"Morocco",Openings_Table[[Opening Date]:[Opening Date]],"&lt;"&amp;X$8)/(12*10)</f>
        <v>0</v>
      </c>
      <c r="Y25" s="89" t="n">
        <f aca="false">SUMIFS(Openings_Table[[Initial One-Time Fee]:[Initial One-Time Fee]],Openings_Table[[Country]:[Country]],"Morocco",Openings_Table[[Opening Date]:[Opening Date]],"&lt;"&amp;Y$8)/(12*10)</f>
        <v>0</v>
      </c>
      <c r="Z25" s="89" t="n">
        <f aca="false">SUMIFS(Openings_Table[[Initial One-Time Fee]:[Initial One-Time Fee]],Openings_Table[[Country]:[Country]],"Morocco",Openings_Table[[Opening Date]:[Opening Date]],"&lt;"&amp;Z$8)/(12*10)</f>
        <v>0</v>
      </c>
      <c r="AA25" s="89" t="n">
        <f aca="false">SUMIFS(Openings_Table[[Initial One-Time Fee]:[Initial One-Time Fee]],Openings_Table[[Country]:[Country]],"Morocco",Openings_Table[[Opening Date]:[Opening Date]],"&lt;"&amp;AA$8)/(12*10)</f>
        <v>0</v>
      </c>
      <c r="AB25" s="89" t="n">
        <f aca="false">SUMIFS(Openings_Table[[Initial One-Time Fee]:[Initial One-Time Fee]],Openings_Table[[Country]:[Country]],"Morocco",Openings_Table[[Opening Date]:[Opening Date]],"&lt;"&amp;AB$8)/(12*10)</f>
        <v>0</v>
      </c>
      <c r="AC25" s="89" t="n">
        <f aca="false">SUMIFS(Openings_Table[[Initial One-Time Fee]:[Initial One-Time Fee]],Openings_Table[[Country]:[Country]],"Morocco",Openings_Table[[Opening Date]:[Opening Date]],"&lt;"&amp;AC$8)/(12*10)</f>
        <v>0</v>
      </c>
      <c r="AD25" s="89" t="n">
        <f aca="false">SUMIFS(Openings_Table[[Initial One-Time Fee]:[Initial One-Time Fee]],Openings_Table[[Country]:[Country]],"Morocco",Openings_Table[[Opening Date]:[Opening Date]],"&lt;"&amp;AD$8)/(12*10)</f>
        <v>0</v>
      </c>
      <c r="AE25" s="89" t="n">
        <f aca="false">SUMIFS(Openings_Table[[Initial One-Time Fee]:[Initial One-Time Fee]],Openings_Table[[Country]:[Country]],"Morocco",Openings_Table[[Opening Date]:[Opening Date]],"&lt;"&amp;AE$8)/(12*10)</f>
        <v>0</v>
      </c>
      <c r="AF25" s="89" t="n">
        <f aca="false">SUMIFS(Openings_Table[[Initial One-Time Fee]:[Initial One-Time Fee]],Openings_Table[[Country]:[Country]],"Morocco",Openings_Table[[Opening Date]:[Opening Date]],"&lt;"&amp;AF$8)/(12*10)</f>
        <v>0</v>
      </c>
      <c r="AG25" s="89" t="n">
        <f aca="false">SUMIFS(Openings_Table[[Initial One-Time Fee]:[Initial One-Time Fee]],Openings_Table[[Country]:[Country]],"Morocco",Openings_Table[[Opening Date]:[Opening Date]],"&lt;"&amp;AG$8)/(12*10)</f>
        <v>3333.33333333333</v>
      </c>
      <c r="AH25" s="89" t="n">
        <f aca="false">SUMIFS(Openings_Table[[Initial One-Time Fee]:[Initial One-Time Fee]],Openings_Table[[Country]:[Country]],"Morocco",Openings_Table[[Opening Date]:[Opening Date]],"&lt;"&amp;AH$8)/(12*10)</f>
        <v>3333.33333333333</v>
      </c>
      <c r="AI25" s="89" t="n">
        <f aca="false">SUMIFS(Openings_Table[[Initial One-Time Fee]:[Initial One-Time Fee]],Openings_Table[[Country]:[Country]],"Morocco",Openings_Table[[Opening Date]:[Opening Date]],"&lt;"&amp;AI$8)/(12*10)</f>
        <v>3333.33333333333</v>
      </c>
      <c r="AJ25" s="89" t="n">
        <f aca="false">SUMIFS(Openings_Table[[Initial One-Time Fee]:[Initial One-Time Fee]],Openings_Table[[Country]:[Country]],"Morocco",Openings_Table[[Opening Date]:[Opening Date]],"&lt;"&amp;AJ$8)/(12*10)</f>
        <v>3333.33333333333</v>
      </c>
      <c r="AK25" s="89" t="n">
        <f aca="false">SUMIFS(Openings_Table[[Initial One-Time Fee]:[Initial One-Time Fee]],Openings_Table[[Country]:[Country]],"Morocco",Openings_Table[[Opening Date]:[Opening Date]],"&lt;"&amp;AK$8)/(12*10)</f>
        <v>3333.33333333333</v>
      </c>
      <c r="AL25" s="89" t="n">
        <f aca="false">SUMIFS(Openings_Table[[Initial One-Time Fee]:[Initial One-Time Fee]],Openings_Table[[Country]:[Country]],"Morocco",Openings_Table[[Opening Date]:[Opening Date]],"&lt;"&amp;AL$8)/(12*10)</f>
        <v>3333.33333333333</v>
      </c>
      <c r="AM25" s="89" t="n">
        <f aca="false">SUMIFS(Openings_Table[[Initial One-Time Fee]:[Initial One-Time Fee]],Openings_Table[[Country]:[Country]],"Morocco",Openings_Table[[Opening Date]:[Opening Date]],"&lt;"&amp;AM$8)/(12*10)</f>
        <v>3333.33333333333</v>
      </c>
      <c r="AN25" s="89" t="n">
        <f aca="false">SUMIFS(Openings_Table[[Initial One-Time Fee]:[Initial One-Time Fee]],Openings_Table[[Country]:[Country]],"Morocco",Openings_Table[[Opening Date]:[Opening Date]],"&lt;"&amp;AN$8)/(12*10)</f>
        <v>3333.33333333333</v>
      </c>
      <c r="AO25" s="89" t="n">
        <f aca="false">SUMIFS(Openings_Table[[Initial One-Time Fee]:[Initial One-Time Fee]],Openings_Table[[Country]:[Country]],"Morocco",Openings_Table[[Opening Date]:[Opening Date]],"&lt;"&amp;AO$8)/(12*10)</f>
        <v>3333.33333333333</v>
      </c>
      <c r="AP25" s="89" t="n">
        <f aca="false">SUMIFS(Openings_Table[[Initial One-Time Fee]:[Initial One-Time Fee]],Openings_Table[[Country]:[Country]],"Morocco",Openings_Table[[Opening Date]:[Opening Date]],"&lt;"&amp;AP$8)/(12*10)</f>
        <v>3333.33333333333</v>
      </c>
    </row>
    <row r="26" s="72" customFormat="true" ht="13.5" hidden="false" customHeight="false" outlineLevel="0" collapsed="false">
      <c r="B26" s="87"/>
      <c r="C26" s="90"/>
      <c r="D26" s="88"/>
      <c r="E26" s="79"/>
      <c r="F26" s="79" t="s">
        <v>175</v>
      </c>
      <c r="G26" s="89" t="n">
        <f aca="false">SUMIFS(Openings_Table[[Initial One-Time Fee]:[Initial One-Time Fee]],Openings_Table[[Country]:[Country]],"Egypt",Openings_Table[[Opening Date]:[Opening Date]],"&lt;"&amp;G$8)/(12*10)</f>
        <v>0</v>
      </c>
      <c r="H26" s="89" t="n">
        <f aca="false">SUMIFS(Openings_Table[[Initial One-Time Fee]:[Initial One-Time Fee]],Openings_Table[[Country]:[Country]],"Egypt",Openings_Table[[Opening Date]:[Opening Date]],"&lt;"&amp;H$8)/(12*10)</f>
        <v>0</v>
      </c>
      <c r="I26" s="89" t="n">
        <f aca="false">SUMIFS(Openings_Table[[Initial One-Time Fee]:[Initial One-Time Fee]],Openings_Table[[Country]:[Country]],"Egypt",Openings_Table[[Opening Date]:[Opening Date]],"&lt;"&amp;I$8)/(12*10)</f>
        <v>0</v>
      </c>
      <c r="J26" s="89" t="n">
        <f aca="false">SUMIFS(Openings_Table[[Initial One-Time Fee]:[Initial One-Time Fee]],Openings_Table[[Country]:[Country]],"Egypt",Openings_Table[[Opening Date]:[Opening Date]],"&lt;"&amp;J$8)/(12*10)</f>
        <v>0</v>
      </c>
      <c r="K26" s="89" t="n">
        <f aca="false">SUMIFS(Openings_Table[[Initial One-Time Fee]:[Initial One-Time Fee]],Openings_Table[[Country]:[Country]],"Egypt",Openings_Table[[Opening Date]:[Opening Date]],"&lt;"&amp;K$8)/(12*10)</f>
        <v>0</v>
      </c>
      <c r="L26" s="89" t="n">
        <f aca="false">SUMIFS(Openings_Table[[Initial One-Time Fee]:[Initial One-Time Fee]],Openings_Table[[Country]:[Country]],"Egypt",Openings_Table[[Opening Date]:[Opening Date]],"&lt;"&amp;L$8)/(12*10)</f>
        <v>0</v>
      </c>
      <c r="M26" s="89" t="n">
        <f aca="false">SUMIFS(Openings_Table[[Initial One-Time Fee]:[Initial One-Time Fee]],Openings_Table[[Country]:[Country]],"Egypt",Openings_Table[[Opening Date]:[Opening Date]],"&lt;"&amp;M$8)/(12*10)</f>
        <v>0</v>
      </c>
      <c r="N26" s="89" t="n">
        <f aca="false">SUMIFS(Openings_Table[[Initial One-Time Fee]:[Initial One-Time Fee]],Openings_Table[[Country]:[Country]],"Egypt",Openings_Table[[Opening Date]:[Opening Date]],"&lt;"&amp;N$8)/(12*10)</f>
        <v>0</v>
      </c>
      <c r="O26" s="89" t="n">
        <f aca="false">SUMIFS(Openings_Table[[Initial One-Time Fee]:[Initial One-Time Fee]],Openings_Table[[Country]:[Country]],"Egypt",Openings_Table[[Opening Date]:[Opening Date]],"&lt;"&amp;O$8)/(12*10)</f>
        <v>0</v>
      </c>
      <c r="P26" s="89" t="n">
        <f aca="false">SUMIFS(Openings_Table[[Initial One-Time Fee]:[Initial One-Time Fee]],Openings_Table[[Country]:[Country]],"Egypt",Openings_Table[[Opening Date]:[Opening Date]],"&lt;"&amp;P$8)/(12*10)</f>
        <v>0</v>
      </c>
      <c r="Q26" s="89" t="n">
        <f aca="false">SUMIFS(Openings_Table[[Initial One-Time Fee]:[Initial One-Time Fee]],Openings_Table[[Country]:[Country]],"Egypt",Openings_Table[[Opening Date]:[Opening Date]],"&lt;"&amp;Q$8)/(12*10)</f>
        <v>0</v>
      </c>
      <c r="R26" s="89" t="n">
        <f aca="false">SUMIFS(Openings_Table[[Initial One-Time Fee]:[Initial One-Time Fee]],Openings_Table[[Country]:[Country]],"Egypt",Openings_Table[[Opening Date]:[Opening Date]],"&lt;"&amp;R$8)/(12*10)</f>
        <v>0</v>
      </c>
      <c r="S26" s="89" t="n">
        <f aca="false">SUMIFS(Openings_Table[[Initial One-Time Fee]:[Initial One-Time Fee]],Openings_Table[[Country]:[Country]],"Egypt",Openings_Table[[Opening Date]:[Opening Date]],"&lt;"&amp;S$8)/(12*10)</f>
        <v>0</v>
      </c>
      <c r="T26" s="89" t="n">
        <f aca="false">SUMIFS(Openings_Table[[Initial One-Time Fee]:[Initial One-Time Fee]],Openings_Table[[Country]:[Country]],"Egypt",Openings_Table[[Opening Date]:[Opening Date]],"&lt;"&amp;T$8)/(12*10)</f>
        <v>0</v>
      </c>
      <c r="U26" s="89" t="n">
        <f aca="false">SUMIFS(Openings_Table[[Initial One-Time Fee]:[Initial One-Time Fee]],Openings_Table[[Country]:[Country]],"Egypt",Openings_Table[[Opening Date]:[Opening Date]],"&lt;"&amp;U$8)/(12*10)</f>
        <v>0</v>
      </c>
      <c r="V26" s="89" t="n">
        <f aca="false">SUMIFS(Openings_Table[[Initial One-Time Fee]:[Initial One-Time Fee]],Openings_Table[[Country]:[Country]],"Egypt",Openings_Table[[Opening Date]:[Opening Date]],"&lt;"&amp;V$8)/(12*10)</f>
        <v>0</v>
      </c>
      <c r="W26" s="89" t="n">
        <f aca="false">SUMIFS(Openings_Table[[Initial One-Time Fee]:[Initial One-Time Fee]],Openings_Table[[Country]:[Country]],"Egypt",Openings_Table[[Opening Date]:[Opening Date]],"&lt;"&amp;W$8)/(12*10)</f>
        <v>0</v>
      </c>
      <c r="X26" s="89" t="n">
        <f aca="false">SUMIFS(Openings_Table[[Initial One-Time Fee]:[Initial One-Time Fee]],Openings_Table[[Country]:[Country]],"Egypt",Openings_Table[[Opening Date]:[Opening Date]],"&lt;"&amp;X$8)/(12*10)</f>
        <v>0</v>
      </c>
      <c r="Y26" s="89" t="n">
        <f aca="false">SUMIFS(Openings_Table[[Initial One-Time Fee]:[Initial One-Time Fee]],Openings_Table[[Country]:[Country]],"Egypt",Openings_Table[[Opening Date]:[Opening Date]],"&lt;"&amp;Y$8)/(12*10)</f>
        <v>0</v>
      </c>
      <c r="Z26" s="89" t="n">
        <f aca="false">SUMIFS(Openings_Table[[Initial One-Time Fee]:[Initial One-Time Fee]],Openings_Table[[Country]:[Country]],"Egypt",Openings_Table[[Opening Date]:[Opening Date]],"&lt;"&amp;Z$8)/(12*10)</f>
        <v>0</v>
      </c>
      <c r="AA26" s="89" t="n">
        <f aca="false">SUMIFS(Openings_Table[[Initial One-Time Fee]:[Initial One-Time Fee]],Openings_Table[[Country]:[Country]],"Egypt",Openings_Table[[Opening Date]:[Opening Date]],"&lt;"&amp;AA$8)/(12*10)</f>
        <v>0</v>
      </c>
      <c r="AB26" s="89" t="n">
        <f aca="false">SUMIFS(Openings_Table[[Initial One-Time Fee]:[Initial One-Time Fee]],Openings_Table[[Country]:[Country]],"Egypt",Openings_Table[[Opening Date]:[Opening Date]],"&lt;"&amp;AB$8)/(12*10)</f>
        <v>0</v>
      </c>
      <c r="AC26" s="89" t="n">
        <f aca="false">SUMIFS(Openings_Table[[Initial One-Time Fee]:[Initial One-Time Fee]],Openings_Table[[Country]:[Country]],"Egypt",Openings_Table[[Opening Date]:[Opening Date]],"&lt;"&amp;AC$8)/(12*10)</f>
        <v>0</v>
      </c>
      <c r="AD26" s="89" t="n">
        <f aca="false">SUMIFS(Openings_Table[[Initial One-Time Fee]:[Initial One-Time Fee]],Openings_Table[[Country]:[Country]],"Egypt",Openings_Table[[Opening Date]:[Opening Date]],"&lt;"&amp;AD$8)/(12*10)</f>
        <v>0</v>
      </c>
      <c r="AE26" s="89" t="n">
        <f aca="false">SUMIFS(Openings_Table[[Initial One-Time Fee]:[Initial One-Time Fee]],Openings_Table[[Country]:[Country]],"Egypt",Openings_Table[[Opening Date]:[Opening Date]],"&lt;"&amp;AE$8)/(12*10)</f>
        <v>0</v>
      </c>
      <c r="AF26" s="89" t="n">
        <f aca="false">SUMIFS(Openings_Table[[Initial One-Time Fee]:[Initial One-Time Fee]],Openings_Table[[Country]:[Country]],"Egypt",Openings_Table[[Opening Date]:[Opening Date]],"&lt;"&amp;AF$8)/(12*10)</f>
        <v>0</v>
      </c>
      <c r="AG26" s="89" t="n">
        <f aca="false">SUMIFS(Openings_Table[[Initial One-Time Fee]:[Initial One-Time Fee]],Openings_Table[[Country]:[Country]],"Egypt",Openings_Table[[Opening Date]:[Opening Date]],"&lt;"&amp;AG$8)/(12*10)</f>
        <v>0</v>
      </c>
      <c r="AH26" s="89" t="n">
        <f aca="false">SUMIFS(Openings_Table[[Initial One-Time Fee]:[Initial One-Time Fee]],Openings_Table[[Country]:[Country]],"Egypt",Openings_Table[[Opening Date]:[Opening Date]],"&lt;"&amp;AH$8)/(12*10)</f>
        <v>0</v>
      </c>
      <c r="AI26" s="89" t="n">
        <f aca="false">SUMIFS(Openings_Table[[Initial One-Time Fee]:[Initial One-Time Fee]],Openings_Table[[Country]:[Country]],"Egypt",Openings_Table[[Opening Date]:[Opening Date]],"&lt;"&amp;AI$8)/(12*10)</f>
        <v>0</v>
      </c>
      <c r="AJ26" s="89" t="n">
        <f aca="false">SUMIFS(Openings_Table[[Initial One-Time Fee]:[Initial One-Time Fee]],Openings_Table[[Country]:[Country]],"Egypt",Openings_Table[[Opening Date]:[Opening Date]],"&lt;"&amp;AJ$8)/(12*10)</f>
        <v>3333.33333333333</v>
      </c>
      <c r="AK26" s="89" t="n">
        <f aca="false">SUMIFS(Openings_Table[[Initial One-Time Fee]:[Initial One-Time Fee]],Openings_Table[[Country]:[Country]],"Egypt",Openings_Table[[Opening Date]:[Opening Date]],"&lt;"&amp;AK$8)/(12*10)</f>
        <v>3333.33333333333</v>
      </c>
      <c r="AL26" s="89" t="n">
        <f aca="false">SUMIFS(Openings_Table[[Initial One-Time Fee]:[Initial One-Time Fee]],Openings_Table[[Country]:[Country]],"Egypt",Openings_Table[[Opening Date]:[Opening Date]],"&lt;"&amp;AL$8)/(12*10)</f>
        <v>3333.33333333333</v>
      </c>
      <c r="AM26" s="89" t="n">
        <f aca="false">SUMIFS(Openings_Table[[Initial One-Time Fee]:[Initial One-Time Fee]],Openings_Table[[Country]:[Country]],"Egypt",Openings_Table[[Opening Date]:[Opening Date]],"&lt;"&amp;AM$8)/(12*10)</f>
        <v>3333.33333333333</v>
      </c>
      <c r="AN26" s="89" t="n">
        <f aca="false">SUMIFS(Openings_Table[[Initial One-Time Fee]:[Initial One-Time Fee]],Openings_Table[[Country]:[Country]],"Egypt",Openings_Table[[Opening Date]:[Opening Date]],"&lt;"&amp;AN$8)/(12*10)</f>
        <v>3333.33333333333</v>
      </c>
      <c r="AO26" s="89" t="n">
        <f aca="false">SUMIFS(Openings_Table[[Initial One-Time Fee]:[Initial One-Time Fee]],Openings_Table[[Country]:[Country]],"Egypt",Openings_Table[[Opening Date]:[Opening Date]],"&lt;"&amp;AO$8)/(12*10)</f>
        <v>3333.33333333333</v>
      </c>
      <c r="AP26" s="89" t="n">
        <f aca="false">SUMIFS(Openings_Table[[Initial One-Time Fee]:[Initial One-Time Fee]],Openings_Table[[Country]:[Country]],"Egypt",Openings_Table[[Opening Date]:[Opening Date]],"&lt;"&amp;AP$8)/(12*10)</f>
        <v>3333.33333333333</v>
      </c>
    </row>
    <row r="27" s="72" customFormat="true" ht="13.5" hidden="false" customHeight="false" outlineLevel="0" collapsed="false">
      <c r="B27" s="87"/>
      <c r="C27" s="90"/>
      <c r="D27" s="88"/>
      <c r="E27" s="79"/>
      <c r="F27" s="7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</row>
    <row r="28" s="72" customFormat="true" ht="13.5" hidden="false" customHeight="false" outlineLevel="0" collapsed="false">
      <c r="B28" s="87"/>
      <c r="C28" s="90"/>
      <c r="D28" s="88"/>
      <c r="E28" s="79"/>
      <c r="F28" s="79" t="s">
        <v>176</v>
      </c>
      <c r="G28" s="89" t="n">
        <f aca="false">SUM(G20:G26)</f>
        <v>3333.33333333333</v>
      </c>
      <c r="H28" s="89" t="n">
        <f aca="false">SUM(H20:H26)</f>
        <v>3333.33333333333</v>
      </c>
      <c r="I28" s="89" t="n">
        <f aca="false">SUM(I20:I26)</f>
        <v>3333.33333333333</v>
      </c>
      <c r="J28" s="89" t="n">
        <f aca="false">SUM(J20:J26)</f>
        <v>3333.33333333333</v>
      </c>
      <c r="K28" s="89" t="n">
        <f aca="false">SUM(K20:K26)</f>
        <v>3333.33333333333</v>
      </c>
      <c r="L28" s="89" t="n">
        <f aca="false">SUM(L20:L26)</f>
        <v>4583.33333333333</v>
      </c>
      <c r="M28" s="89" t="n">
        <f aca="false">SUM(M20:M26)</f>
        <v>4583.33333333333</v>
      </c>
      <c r="N28" s="89" t="n">
        <f aca="false">SUM(N20:N26)</f>
        <v>4583.33333333333</v>
      </c>
      <c r="O28" s="89" t="n">
        <f aca="false">SUM(O20:O26)</f>
        <v>4583.33333333333</v>
      </c>
      <c r="P28" s="89" t="n">
        <f aca="false">SUM(P20:P26)</f>
        <v>7916.66666666667</v>
      </c>
      <c r="Q28" s="89" t="n">
        <f aca="false">SUM(Q20:Q26)</f>
        <v>11250</v>
      </c>
      <c r="R28" s="89" t="n">
        <f aca="false">SUM(R20:R26)</f>
        <v>11250</v>
      </c>
      <c r="S28" s="89" t="n">
        <f aca="false">SUM(S20:S26)</f>
        <v>11250</v>
      </c>
      <c r="T28" s="89" t="n">
        <f aca="false">SUM(T20:T26)</f>
        <v>11250</v>
      </c>
      <c r="U28" s="89" t="n">
        <f aca="false">SUM(U20:U26)</f>
        <v>12500</v>
      </c>
      <c r="V28" s="89" t="n">
        <f aca="false">SUM(V20:V26)</f>
        <v>12500</v>
      </c>
      <c r="W28" s="89" t="n">
        <f aca="false">SUM(W20:W26)</f>
        <v>13750</v>
      </c>
      <c r="X28" s="89" t="n">
        <f aca="false">SUM(X20:X26)</f>
        <v>13750</v>
      </c>
      <c r="Y28" s="89" t="n">
        <f aca="false">SUM(Y20:Y26)</f>
        <v>13750</v>
      </c>
      <c r="Z28" s="89" t="n">
        <f aca="false">SUM(Z20:Z26)</f>
        <v>17083.3333333333</v>
      </c>
      <c r="AA28" s="89" t="n">
        <f aca="false">SUM(AA20:AA26)</f>
        <v>17083.3333333333</v>
      </c>
      <c r="AB28" s="89" t="n">
        <f aca="false">SUM(AB20:AB26)</f>
        <v>17083.3333333333</v>
      </c>
      <c r="AC28" s="89" t="n">
        <f aca="false">SUM(AC20:AC26)</f>
        <v>17083.3333333333</v>
      </c>
      <c r="AD28" s="89" t="n">
        <f aca="false">SUM(AD20:AD26)</f>
        <v>20416.6666666667</v>
      </c>
      <c r="AE28" s="89" t="n">
        <f aca="false">SUM(AE20:AE26)</f>
        <v>20416.6666666667</v>
      </c>
      <c r="AF28" s="89" t="n">
        <f aca="false">SUM(AF20:AF26)</f>
        <v>20416.6666666667</v>
      </c>
      <c r="AG28" s="89" t="n">
        <f aca="false">SUM(AG20:AG26)</f>
        <v>23750</v>
      </c>
      <c r="AH28" s="89" t="n">
        <f aca="false">SUM(AH20:AH26)</f>
        <v>23750</v>
      </c>
      <c r="AI28" s="89" t="n">
        <f aca="false">SUM(AI20:AI26)</f>
        <v>23750</v>
      </c>
      <c r="AJ28" s="89" t="n">
        <f aca="false">SUM(AJ20:AJ26)</f>
        <v>27083.3333333333</v>
      </c>
      <c r="AK28" s="89" t="n">
        <f aca="false">SUM(AK20:AK26)</f>
        <v>27083.3333333333</v>
      </c>
      <c r="AL28" s="89" t="n">
        <f aca="false">SUM(AL20:AL26)</f>
        <v>27083.3333333333</v>
      </c>
      <c r="AM28" s="89" t="n">
        <f aca="false">SUM(AM20:AM26)</f>
        <v>27083.3333333333</v>
      </c>
      <c r="AN28" s="89" t="n">
        <f aca="false">SUM(AN20:AN26)</f>
        <v>27083.3333333333</v>
      </c>
      <c r="AO28" s="89" t="n">
        <f aca="false">SUM(AO20:AO26)</f>
        <v>27083.3333333333</v>
      </c>
      <c r="AP28" s="89" t="n">
        <f aca="false">SUM(AP20:AP26)</f>
        <v>27083.3333333333</v>
      </c>
    </row>
    <row r="29" customFormat="false" ht="13.5" hidden="false" customHeight="false" outlineLevel="0" collapsed="false">
      <c r="A29" s="72"/>
      <c r="B29" s="87"/>
      <c r="D29" s="88"/>
      <c r="E29" s="79"/>
      <c r="F29" s="79"/>
    </row>
    <row r="30" customFormat="false" ht="13.5" hidden="false" customHeight="false" outlineLevel="0" collapsed="false">
      <c r="A30" s="72"/>
      <c r="B30" s="90"/>
      <c r="D30" s="88"/>
      <c r="E30" s="79"/>
      <c r="F30" s="79" t="s">
        <v>177</v>
      </c>
      <c r="G30" s="89" t="n">
        <f aca="false">INDEX(Sales_Saudi_Arabia[],MATCH(G$8,Sales_Saudi_Arabia[[Period]:[Period]],0),9)*G10</f>
        <v>10000</v>
      </c>
      <c r="H30" s="89" t="n">
        <f aca="false">INDEX(Sales_Saudi_Arabia[],MATCH(H8,Sales_Saudi_Arabia[[Period]:[Period]],0),9)
*
COUNTIFS(Openings_Table[[Country]:[Country]],"Saudi_Arabia",Openings_Table[[Opening Date]:[Opening Date]],"&lt;"&amp;H8)</f>
        <v>10000</v>
      </c>
      <c r="I30" s="89" t="n">
        <f aca="false">INDEX(Sales_Saudi_Arabia[],MATCH(I8,Sales_Saudi_Arabia[[Period]:[Period]],0),9)
*
COUNTIFS(Openings_Table[[Country]:[Country]],"Saudi_Arabia",Openings_Table[[Opening Date]:[Opening Date]],"&lt;"&amp;I8)</f>
        <v>10000</v>
      </c>
      <c r="J30" s="89" t="n">
        <f aca="false">INDEX(Sales_Saudi_Arabia[],MATCH(J8,Sales_Saudi_Arabia[[Period]:[Period]],0),9)
*
COUNTIFS(Openings_Table[[Country]:[Country]],"Saudi_Arabia",Openings_Table[[Opening Date]:[Opening Date]],"&lt;"&amp;J8)</f>
        <v>10000</v>
      </c>
      <c r="K30" s="89" t="n">
        <f aca="false">INDEX(Sales_Saudi_Arabia[],MATCH(K8,Sales_Saudi_Arabia[[Period]:[Period]],0),9)
*
COUNTIFS(Openings_Table[[Country]:[Country]],"Saudi_Arabia",Openings_Table[[Opening Date]:[Opening Date]],"&lt;"&amp;K8)</f>
        <v>10000</v>
      </c>
      <c r="L30" s="89" t="n">
        <f aca="false">INDEX(Sales_Saudi_Arabia[],MATCH(L8,Sales_Saudi_Arabia[[Period]:[Period]],0),9)
*
COUNTIFS(Openings_Table[[Country]:[Country]],"Saudi_Arabia",Openings_Table[[Opening Date]:[Opening Date]],"&lt;"&amp;L8)</f>
        <v>20000</v>
      </c>
      <c r="M30" s="89" t="n">
        <f aca="false">INDEX(Sales_Saudi_Arabia[],MATCH(M8,Sales_Saudi_Arabia[[Period]:[Period]],0),9)
*
COUNTIFS(Openings_Table[[Country]:[Country]],"Saudi_Arabia",Openings_Table[[Opening Date]:[Opening Date]],"&lt;"&amp;M8)</f>
        <v>20000</v>
      </c>
      <c r="N30" s="89" t="n">
        <f aca="false">INDEX(Sales_Saudi_Arabia[],MATCH(N8,Sales_Saudi_Arabia[[Period]:[Period]],0),9)
*
COUNTIFS(Openings_Table[[Country]:[Country]],"Saudi_Arabia",Openings_Table[[Opening Date]:[Opening Date]],"&lt;"&amp;N8)</f>
        <v>20000</v>
      </c>
      <c r="O30" s="89" t="n">
        <f aca="false">INDEX(Sales_Saudi_Arabia[],MATCH(O8,Sales_Saudi_Arabia[[Period]:[Period]],0),9)
*
COUNTIFS(Openings_Table[[Country]:[Country]],"Saudi_Arabia",Openings_Table[[Opening Date]:[Opening Date]],"&lt;"&amp;O8)</f>
        <v>20000</v>
      </c>
      <c r="P30" s="89" t="n">
        <f aca="false">INDEX(Sales_Saudi_Arabia[],MATCH(P8,Sales_Saudi_Arabia[[Period]:[Period]],0),9)
*
COUNTIFS(Openings_Table[[Country]:[Country]],"Saudi_Arabia",Openings_Table[[Opening Date]:[Opening Date]],"&lt;"&amp;P8)</f>
        <v>20000</v>
      </c>
      <c r="Q30" s="89" t="n">
        <f aca="false">INDEX(Sales_Saudi_Arabia[],MATCH(Q8,Sales_Saudi_Arabia[[Period]:[Period]],0),9)
*
COUNTIFS(Openings_Table[[Country]:[Country]],"Saudi_Arabia",Openings_Table[[Opening Date]:[Opening Date]],"&lt;"&amp;Q8)</f>
        <v>20000</v>
      </c>
      <c r="R30" s="89" t="n">
        <f aca="false">INDEX(Sales_Saudi_Arabia[],MATCH(R8,Sales_Saudi_Arabia[[Period]:[Period]],0),9)
*
COUNTIFS(Openings_Table[[Country]:[Country]],"Saudi_Arabia",Openings_Table[[Opening Date]:[Opening Date]],"&lt;"&amp;R8)</f>
        <v>20000</v>
      </c>
      <c r="S30" s="89" t="n">
        <f aca="false">INDEX(Sales_Saudi_Arabia[],MATCH(S8,Sales_Saudi_Arabia[[Period]:[Period]],0),9)
*
COUNTIFS(Openings_Table[[Country]:[Country]],"Saudi_Arabia",Openings_Table[[Opening Date]:[Opening Date]],"&lt;"&amp;S8)</f>
        <v>20000</v>
      </c>
      <c r="T30" s="89" t="n">
        <f aca="false">INDEX(Sales_Saudi_Arabia[],MATCH(T8,Sales_Saudi_Arabia[[Period]:[Period]],0),9)
*
COUNTIFS(Openings_Table[[Country]:[Country]],"Saudi_Arabia",Openings_Table[[Opening Date]:[Opening Date]],"&lt;"&amp;T8)</f>
        <v>20000</v>
      </c>
      <c r="U30" s="89" t="n">
        <f aca="false">INDEX(Sales_Saudi_Arabia[],MATCH(U8,Sales_Saudi_Arabia[[Period]:[Period]],0),9)
*
COUNTIFS(Openings_Table[[Country]:[Country]],"Saudi_Arabia",Openings_Table[[Opening Date]:[Opening Date]],"&lt;"&amp;U8)</f>
        <v>20000</v>
      </c>
      <c r="V30" s="89" t="n">
        <f aca="false">INDEX(Sales_Saudi_Arabia[],MATCH(V8,Sales_Saudi_Arabia[[Period]:[Period]],0),9)
*
COUNTIFS(Openings_Table[[Country]:[Country]],"Saudi_Arabia",Openings_Table[[Opening Date]:[Opening Date]],"&lt;"&amp;V8)</f>
        <v>20000</v>
      </c>
      <c r="W30" s="89" t="n">
        <f aca="false">INDEX(Sales_Saudi_Arabia[],MATCH(W8,Sales_Saudi_Arabia[[Period]:[Period]],0),9)
*
COUNTIFS(Openings_Table[[Country]:[Country]],"Saudi_Arabia",Openings_Table[[Opening Date]:[Opening Date]],"&lt;"&amp;W8)</f>
        <v>20000</v>
      </c>
      <c r="X30" s="89" t="n">
        <f aca="false">INDEX(Sales_Saudi_Arabia[],MATCH(X8,Sales_Saudi_Arabia[[Period]:[Period]],0),9)
*
COUNTIFS(Openings_Table[[Country]:[Country]],"Saudi_Arabia",Openings_Table[[Opening Date]:[Opening Date]],"&lt;"&amp;X8)</f>
        <v>20000</v>
      </c>
      <c r="Y30" s="89" t="n">
        <f aca="false">INDEX(Sales_Saudi_Arabia[],MATCH(Y8,Sales_Saudi_Arabia[[Period]:[Period]],0),9)
*
COUNTIFS(Openings_Table[[Country]:[Country]],"Saudi_Arabia",Openings_Table[[Opening Date]:[Opening Date]],"&lt;"&amp;Y8)</f>
        <v>20000</v>
      </c>
      <c r="Z30" s="89" t="n">
        <f aca="false">INDEX(Sales_Saudi_Arabia[],MATCH(Z8,Sales_Saudi_Arabia[[Period]:[Period]],0),9)
*
COUNTIFS(Openings_Table[[Country]:[Country]],"Saudi_Arabia",Openings_Table[[Opening Date]:[Opening Date]],"&lt;"&amp;Z8)</f>
        <v>20000</v>
      </c>
      <c r="AA30" s="89" t="n">
        <f aca="false">INDEX(Sales_Saudi_Arabia[],MATCH(AA8,Sales_Saudi_Arabia[[Period]:[Period]],0),9)
*
COUNTIFS(Openings_Table[[Country]:[Country]],"Saudi_Arabia",Openings_Table[[Opening Date]:[Opening Date]],"&lt;"&amp;AA8)</f>
        <v>20000</v>
      </c>
      <c r="AB30" s="89" t="n">
        <f aca="false">INDEX(Sales_Saudi_Arabia[],MATCH(AB8,Sales_Saudi_Arabia[[Period]:[Period]],0),9)
*
COUNTIFS(Openings_Table[[Country]:[Country]],"Saudi_Arabia",Openings_Table[[Opening Date]:[Opening Date]],"&lt;"&amp;AB8)</f>
        <v>20000</v>
      </c>
      <c r="AC30" s="89" t="n">
        <f aca="false">INDEX(Sales_Saudi_Arabia[],MATCH(AC8,Sales_Saudi_Arabia[[Period]:[Period]],0),9)
*
COUNTIFS(Openings_Table[[Country]:[Country]],"Saudi_Arabia",Openings_Table[[Opening Date]:[Opening Date]],"&lt;"&amp;AC8)</f>
        <v>20000</v>
      </c>
      <c r="AD30" s="89" t="n">
        <f aca="false">INDEX(Sales_Saudi_Arabia[],MATCH(AD8,Sales_Saudi_Arabia[[Period]:[Period]],0),9)
*
COUNTIFS(Openings_Table[[Country]:[Country]],"Saudi_Arabia",Openings_Table[[Opening Date]:[Opening Date]],"&lt;"&amp;AD8)</f>
        <v>20000</v>
      </c>
      <c r="AE30" s="89" t="n">
        <f aca="false">INDEX(Sales_Saudi_Arabia[],MATCH(AE8,Sales_Saudi_Arabia[[Period]:[Period]],0),9)
*
COUNTIFS(Openings_Table[[Country]:[Country]],"Saudi_Arabia",Openings_Table[[Opening Date]:[Opening Date]],"&lt;"&amp;AE8)</f>
        <v>20000</v>
      </c>
      <c r="AF30" s="89" t="n">
        <f aca="false">INDEX(Sales_Saudi_Arabia[],MATCH(AF8,Sales_Saudi_Arabia[[Period]:[Period]],0),9)
*
COUNTIFS(Openings_Table[[Country]:[Country]],"Saudi_Arabia",Openings_Table[[Opening Date]:[Opening Date]],"&lt;"&amp;AF8)</f>
        <v>20000</v>
      </c>
      <c r="AG30" s="89" t="n">
        <f aca="false">INDEX(Sales_Saudi_Arabia[],MATCH(AG8,Sales_Saudi_Arabia[[Period]:[Period]],0),9)
*
COUNTIFS(Openings_Table[[Country]:[Country]],"Saudi_Arabia",Openings_Table[[Opening Date]:[Opening Date]],"&lt;"&amp;AG8)</f>
        <v>20000</v>
      </c>
      <c r="AH30" s="89" t="n">
        <f aca="false">INDEX(Sales_Saudi_Arabia[],MATCH(AH8,Sales_Saudi_Arabia[[Period]:[Period]],0),9)
*
COUNTIFS(Openings_Table[[Country]:[Country]],"Saudi_Arabia",Openings_Table[[Opening Date]:[Opening Date]],"&lt;"&amp;AH8)</f>
        <v>20000</v>
      </c>
      <c r="AI30" s="89" t="n">
        <f aca="false">INDEX(Sales_Saudi_Arabia[],MATCH(AI8,Sales_Saudi_Arabia[[Period]:[Period]],0),9)
*
COUNTIFS(Openings_Table[[Country]:[Country]],"Saudi_Arabia",Openings_Table[[Opening Date]:[Opening Date]],"&lt;"&amp;AI8)</f>
        <v>20000</v>
      </c>
      <c r="AJ30" s="89" t="n">
        <f aca="false">INDEX(Sales_Saudi_Arabia[],MATCH(AJ8,Sales_Saudi_Arabia[[Period]:[Period]],0),9)
*
COUNTIFS(Openings_Table[[Country]:[Country]],"Saudi_Arabia",Openings_Table[[Opening Date]:[Opening Date]],"&lt;"&amp;AJ8)</f>
        <v>20000</v>
      </c>
      <c r="AK30" s="89" t="n">
        <f aca="false">INDEX(Sales_Saudi_Arabia[],MATCH(AK8,Sales_Saudi_Arabia[[Period]:[Period]],0),9)
*
COUNTIFS(Openings_Table[[Country]:[Country]],"Saudi_Arabia",Openings_Table[[Opening Date]:[Opening Date]],"&lt;"&amp;AK8)</f>
        <v>20000</v>
      </c>
      <c r="AL30" s="89" t="n">
        <f aca="false">INDEX(Sales_Saudi_Arabia[],MATCH(AL8,Sales_Saudi_Arabia[[Period]:[Period]],0),9)
*
COUNTIFS(Openings_Table[[Country]:[Country]],"Saudi_Arabia",Openings_Table[[Opening Date]:[Opening Date]],"&lt;"&amp;AL8)</f>
        <v>20000</v>
      </c>
      <c r="AM30" s="89" t="n">
        <f aca="false">INDEX(Sales_Saudi_Arabia[],MATCH(AM8,Sales_Saudi_Arabia[[Period]:[Period]],0),9)
*
COUNTIFS(Openings_Table[[Country]:[Country]],"Saudi_Arabia",Openings_Table[[Opening Date]:[Opening Date]],"&lt;"&amp;AM8)</f>
        <v>20000</v>
      </c>
      <c r="AN30" s="89" t="n">
        <f aca="false">INDEX(Sales_Saudi_Arabia[],MATCH(AN8,Sales_Saudi_Arabia[[Period]:[Period]],0),9)
*
COUNTIFS(Openings_Table[[Country]:[Country]],"Saudi_Arabia",Openings_Table[[Opening Date]:[Opening Date]],"&lt;"&amp;AN8)</f>
        <v>20000</v>
      </c>
      <c r="AO30" s="89" t="n">
        <f aca="false">INDEX(Sales_Saudi_Arabia[],MATCH(AO8,Sales_Saudi_Arabia[[Period]:[Period]],0),9)
*
COUNTIFS(Openings_Table[[Country]:[Country]],"Saudi_Arabia",Openings_Table[[Opening Date]:[Opening Date]],"&lt;"&amp;AO8)</f>
        <v>20000</v>
      </c>
      <c r="AP30" s="89" t="n">
        <f aca="false">INDEX(Sales_Saudi_Arabia[],MATCH(AP8,Sales_Saudi_Arabia[[Period]:[Period]],0),9)
*
COUNTIFS(Openings_Table[[Country]:[Country]],"Saudi_Arabia",Openings_Table[[Opening Date]:[Opening Date]],"&lt;"&amp;AP8)</f>
        <v>20000</v>
      </c>
    </row>
    <row r="31" s="72" customFormat="true" ht="13.5" hidden="false" customHeight="false" outlineLevel="0" collapsed="false">
      <c r="B31" s="90"/>
      <c r="C31" s="90"/>
      <c r="D31" s="88"/>
      <c r="E31" s="79"/>
      <c r="F31" s="79" t="s">
        <v>178</v>
      </c>
      <c r="G31" s="89" t="n">
        <f aca="false">INDEX(Sales_UAE[],MATCH(G$8,Sales_UAE[[Period]:[Period]],0),9)*G11</f>
        <v>0</v>
      </c>
      <c r="H31" s="89" t="n">
        <f aca="false">INDEX(Sales_UAE[],MATCH(H$8,Sales_UAE[[Period]:[Period]],0),9)*H11</f>
        <v>0</v>
      </c>
      <c r="I31" s="89" t="n">
        <f aca="false">INDEX(Sales_UAE[],MATCH(I$8,Sales_UAE[[Period]:[Period]],0),9)*I11</f>
        <v>0</v>
      </c>
      <c r="J31" s="89" t="n">
        <f aca="false">INDEX(Sales_UAE[],MATCH(J$8,Sales_UAE[[Period]:[Period]],0),9)*J11</f>
        <v>0</v>
      </c>
      <c r="K31" s="89" t="n">
        <f aca="false">INDEX(Sales_UAE[],MATCH(K$8,Sales_UAE[[Period]:[Period]],0),9)*K11</f>
        <v>0</v>
      </c>
      <c r="L31" s="89" t="n">
        <f aca="false">INDEX(Sales_UAE[],MATCH(L$8,Sales_UAE[[Period]:[Period]],0),9)*L11</f>
        <v>0</v>
      </c>
      <c r="M31" s="89" t="n">
        <f aca="false">INDEX(Sales_UAE[],MATCH(M$8,Sales_UAE[[Period]:[Period]],0),9)*M11</f>
        <v>0</v>
      </c>
      <c r="N31" s="89" t="n">
        <f aca="false">INDEX(Sales_UAE[],MATCH(N$8,Sales_UAE[[Period]:[Period]],0),9)*N11</f>
        <v>0</v>
      </c>
      <c r="O31" s="89" t="n">
        <f aca="false">INDEX(Sales_UAE[],MATCH(O$8,Sales_UAE[[Period]:[Period]],0),9)*O11</f>
        <v>0</v>
      </c>
      <c r="P31" s="89" t="n">
        <f aca="false">INDEX(Sales_UAE[],MATCH(P$8,Sales_UAE[[Period]:[Period]],0),9)*P11</f>
        <v>0</v>
      </c>
      <c r="Q31" s="89" t="n">
        <f aca="false">INDEX(Sales_UAE[],MATCH(Q$8,Sales_UAE[[Period]:[Period]],0),9)*Q11</f>
        <v>10617.91416</v>
      </c>
      <c r="R31" s="89" t="n">
        <f aca="false">INDEX(Sales_UAE[],MATCH(R$8,Sales_UAE[[Period]:[Period]],0),9)*R11</f>
        <v>11502.74034</v>
      </c>
      <c r="S31" s="89" t="n">
        <f aca="false">INDEX(Sales_UAE[],MATCH(S$8,Sales_UAE[[Period]:[Period]],0),9)*S11</f>
        <v>11148.809868</v>
      </c>
      <c r="T31" s="89" t="n">
        <f aca="false">INDEX(Sales_UAE[],MATCH(T$8,Sales_UAE[[Period]:[Period]],0),9)*T11</f>
        <v>10219.742379</v>
      </c>
      <c r="U31" s="89" t="n">
        <f aca="false">INDEX(Sales_UAE[],MATCH(U$8,Sales_UAE[[Period]:[Period]],0),9)*U11</f>
        <v>20439.484758</v>
      </c>
      <c r="V31" s="89" t="n">
        <f aca="false">INDEX(Sales_UAE[],MATCH(V$8,Sales_UAE[[Period]:[Period]],0),9)*V11</f>
        <v>20000</v>
      </c>
      <c r="W31" s="89" t="n">
        <f aca="false">INDEX(Sales_UAE[],MATCH(W$8,Sales_UAE[[Period]:[Period]],0),9)*W11</f>
        <v>30000</v>
      </c>
      <c r="X31" s="89" t="n">
        <f aca="false">INDEX(Sales_UAE[],MATCH(X$8,Sales_UAE[[Period]:[Period]],0),9)*X11</f>
        <v>30000</v>
      </c>
      <c r="Y31" s="89" t="n">
        <f aca="false">INDEX(Sales_UAE[],MATCH(Y$8,Sales_UAE[[Period]:[Period]],0),9)*Y11</f>
        <v>30000</v>
      </c>
      <c r="Z31" s="89" t="n">
        <f aca="false">INDEX(Sales_UAE[],MATCH(Z$8,Sales_UAE[[Period]:[Period]],0),9)*Z11</f>
        <v>30000</v>
      </c>
      <c r="AA31" s="89" t="n">
        <f aca="false">INDEX(Sales_UAE[],MATCH(AA$8,Sales_UAE[[Period]:[Period]],0),9)*AA11</f>
        <v>30000</v>
      </c>
      <c r="AB31" s="89" t="n">
        <f aca="false">INDEX(Sales_UAE[],MATCH(AB$8,Sales_UAE[[Period]:[Period]],0),9)*AB11</f>
        <v>30659.227137</v>
      </c>
      <c r="AC31" s="89" t="n">
        <f aca="false">INDEX(Sales_UAE[],MATCH(AC$8,Sales_UAE[[Period]:[Period]],0),9)*AC11</f>
        <v>33446.429604</v>
      </c>
      <c r="AD31" s="89" t="n">
        <f aca="false">INDEX(Sales_UAE[],MATCH(AD$8,Sales_UAE[[Period]:[Period]],0),9)*AD11</f>
        <v>36233.632071</v>
      </c>
      <c r="AE31" s="89" t="n">
        <f aca="false">INDEX(Sales_UAE[],MATCH(AE$8,Sales_UAE[[Period]:[Period]],0),9)*AE11</f>
        <v>35118.7510842</v>
      </c>
      <c r="AF31" s="89" t="n">
        <f aca="false">INDEX(Sales_UAE[],MATCH(AF$8,Sales_UAE[[Period]:[Period]],0),9)*AF11</f>
        <v>32192.18849385</v>
      </c>
      <c r="AG31" s="89" t="n">
        <f aca="false">INDEX(Sales_UAE[],MATCH(AG$8,Sales_UAE[[Period]:[Period]],0),9)*AG11</f>
        <v>32192.18849385</v>
      </c>
      <c r="AH31" s="89" t="n">
        <f aca="false">INDEX(Sales_UAE[],MATCH(AH$8,Sales_UAE[[Period]:[Period]],0),9)*AH11</f>
        <v>30000</v>
      </c>
      <c r="AI31" s="89" t="n">
        <f aca="false">INDEX(Sales_UAE[],MATCH(AI$8,Sales_UAE[[Period]:[Period]],0),9)*AI11</f>
        <v>30000</v>
      </c>
      <c r="AJ31" s="89" t="n">
        <f aca="false">INDEX(Sales_UAE[],MATCH(AJ$8,Sales_UAE[[Period]:[Period]],0),9)*AJ11</f>
        <v>30000</v>
      </c>
      <c r="AK31" s="89" t="n">
        <f aca="false">INDEX(Sales_UAE[],MATCH(AK$8,Sales_UAE[[Period]:[Period]],0),9)*AK11</f>
        <v>30000</v>
      </c>
      <c r="AL31" s="89" t="n">
        <f aca="false">INDEX(Sales_UAE[],MATCH(AL$8,Sales_UAE[[Period]:[Period]],0),9)*AL11</f>
        <v>30000</v>
      </c>
      <c r="AM31" s="89" t="n">
        <f aca="false">INDEX(Sales_UAE[],MATCH(AM$8,Sales_UAE[[Period]:[Period]],0),9)*AM11</f>
        <v>30000</v>
      </c>
      <c r="AN31" s="89" t="n">
        <f aca="false">INDEX(Sales_UAE[],MATCH(AN$8,Sales_UAE[[Period]:[Period]],0),9)*AN11</f>
        <v>32192.18849385</v>
      </c>
      <c r="AO31" s="89" t="n">
        <f aca="false">INDEX(Sales_UAE[],MATCH(AO$8,Sales_UAE[[Period]:[Period]],0),9)*AO11</f>
        <v>35118.7510842</v>
      </c>
      <c r="AP31" s="89" t="n">
        <f aca="false">INDEX(Sales_UAE[],MATCH(AP$8,Sales_UAE[[Period]:[Period]],0),9)*AP11</f>
        <v>38045.31367455</v>
      </c>
    </row>
    <row r="32" s="72" customFormat="true" ht="13.5" hidden="false" customHeight="false" outlineLevel="0" collapsed="false">
      <c r="B32" s="90"/>
      <c r="C32" s="90"/>
      <c r="D32" s="88"/>
      <c r="E32" s="79"/>
      <c r="F32" s="79" t="s">
        <v>179</v>
      </c>
      <c r="G32" s="89" t="n">
        <f aca="false">INDEX(Sales_Qatar[],MATCH(G$8,Sales_Qatar[[Period]:[Period]],0),9)*G12</f>
        <v>0</v>
      </c>
      <c r="H32" s="89" t="n">
        <f aca="false">INDEX(Sales_Qatar[],MATCH(H$8,Sales_Qatar[[Period]:[Period]],0),9)*H12</f>
        <v>0</v>
      </c>
      <c r="I32" s="89" t="n">
        <f aca="false">INDEX(Sales_Qatar[],MATCH(I$8,Sales_Qatar[[Period]:[Period]],0),9)*I12</f>
        <v>0</v>
      </c>
      <c r="J32" s="89" t="n">
        <f aca="false">INDEX(Sales_Qatar[],MATCH(J$8,Sales_Qatar[[Period]:[Period]],0),9)*J12</f>
        <v>0</v>
      </c>
      <c r="K32" s="89" t="n">
        <f aca="false">INDEX(Sales_Qatar[],MATCH(K$8,Sales_Qatar[[Period]:[Period]],0),9)*K12</f>
        <v>0</v>
      </c>
      <c r="L32" s="89" t="n">
        <f aca="false">INDEX(Sales_Qatar[],MATCH(L$8,Sales_Qatar[[Period]:[Period]],0),9)*L12</f>
        <v>0</v>
      </c>
      <c r="M32" s="89" t="n">
        <f aca="false">INDEX(Sales_Qatar[],MATCH(M$8,Sales_Qatar[[Period]:[Period]],0),9)*M12</f>
        <v>0</v>
      </c>
      <c r="N32" s="89" t="n">
        <f aca="false">INDEX(Sales_Qatar[],MATCH(N$8,Sales_Qatar[[Period]:[Period]],0),9)*N12</f>
        <v>0</v>
      </c>
      <c r="O32" s="89" t="n">
        <f aca="false">INDEX(Sales_Qatar[],MATCH(O$8,Sales_Qatar[[Period]:[Period]],0),9)*O12</f>
        <v>0</v>
      </c>
      <c r="P32" s="89" t="n">
        <f aca="false">INDEX(Sales_Qatar[],MATCH(P$8,Sales_Qatar[[Period]:[Period]],0),9)*P12</f>
        <v>10000</v>
      </c>
      <c r="Q32" s="89" t="n">
        <f aca="false">INDEX(Sales_Qatar[],MATCH(Q$8,Sales_Qatar[[Period]:[Period]],0),9)*Q12</f>
        <v>10000</v>
      </c>
      <c r="R32" s="89" t="n">
        <f aca="false">INDEX(Sales_Qatar[],MATCH(R$8,Sales_Qatar[[Period]:[Period]],0),9)*R12</f>
        <v>10752.1206</v>
      </c>
      <c r="S32" s="89" t="n">
        <f aca="false">INDEX(Sales_Qatar[],MATCH(S$8,Sales_Qatar[[Period]:[Period]],0),9)*S12</f>
        <v>10520.536464</v>
      </c>
      <c r="T32" s="89" t="n">
        <f aca="false">INDEX(Sales_Qatar[],MATCH(T$8,Sales_Qatar[[Period]:[Period]],0),9)*T12</f>
        <v>10000</v>
      </c>
      <c r="U32" s="89" t="n">
        <f aca="false">INDEX(Sales_Qatar[],MATCH(U$8,Sales_Qatar[[Period]:[Period]],0),9)*U12</f>
        <v>10000</v>
      </c>
      <c r="V32" s="89" t="n">
        <f aca="false">INDEX(Sales_Qatar[],MATCH(V$8,Sales_Qatar[[Period]:[Period]],0),9)*V12</f>
        <v>10000</v>
      </c>
      <c r="W32" s="89" t="n">
        <f aca="false">INDEX(Sales_Qatar[],MATCH(W$8,Sales_Qatar[[Period]:[Period]],0),9)*W12</f>
        <v>10000</v>
      </c>
      <c r="X32" s="89" t="n">
        <f aca="false">INDEX(Sales_Qatar[],MATCH(X$8,Sales_Qatar[[Period]:[Period]],0),9)*X12</f>
        <v>10000</v>
      </c>
      <c r="Y32" s="89" t="n">
        <f aca="false">INDEX(Sales_Qatar[],MATCH(Y$8,Sales_Qatar[[Period]:[Period]],0),9)*Y12</f>
        <v>10000</v>
      </c>
      <c r="Z32" s="89" t="n">
        <f aca="false">INDEX(Sales_Qatar[],MATCH(Z$8,Sales_Qatar[[Period]:[Period]],0),9)*Z12</f>
        <v>10000</v>
      </c>
      <c r="AA32" s="89" t="n">
        <f aca="false">INDEX(Sales_Qatar[],MATCH(AA$8,Sales_Qatar[[Period]:[Period]],0),9)*AA12</f>
        <v>10000</v>
      </c>
      <c r="AB32" s="89" t="n">
        <f aca="false">INDEX(Sales_Qatar[],MATCH(AB$8,Sales_Qatar[[Period]:[Period]],0),9)*AB12</f>
        <v>10000</v>
      </c>
      <c r="AC32" s="89" t="n">
        <f aca="false">INDEX(Sales_Qatar[],MATCH(AC$8,Sales_Qatar[[Period]:[Period]],0),9)*AC12</f>
        <v>10520.536464</v>
      </c>
      <c r="AD32" s="89" t="n">
        <f aca="false">INDEX(Sales_Qatar[],MATCH(AD$8,Sales_Qatar[[Period]:[Period]],0),9)*AD12</f>
        <v>11397.247836</v>
      </c>
      <c r="AE32" s="89" t="n">
        <f aca="false">INDEX(Sales_Qatar[],MATCH(AE$8,Sales_Qatar[[Period]:[Period]],0),9)*AE12</f>
        <v>11151.76865184</v>
      </c>
      <c r="AF32" s="89" t="n">
        <f aca="false">INDEX(Sales_Qatar[],MATCH(AF$8,Sales_Qatar[[Period]:[Period]],0),9)*AF12</f>
        <v>10222.45459752</v>
      </c>
      <c r="AG32" s="89" t="n">
        <f aca="false">INDEX(Sales_Qatar[],MATCH(AG$8,Sales_Qatar[[Period]:[Period]],0),9)*AG12</f>
        <v>10222.45459752</v>
      </c>
      <c r="AH32" s="89" t="n">
        <f aca="false">INDEX(Sales_Qatar[],MATCH(AH$8,Sales_Qatar[[Period]:[Period]],0),9)*AH12</f>
        <v>10000</v>
      </c>
      <c r="AI32" s="89" t="n">
        <f aca="false">INDEX(Sales_Qatar[],MATCH(AI$8,Sales_Qatar[[Period]:[Period]],0),9)*AI12</f>
        <v>10000</v>
      </c>
      <c r="AJ32" s="89" t="n">
        <f aca="false">INDEX(Sales_Qatar[],MATCH(AJ$8,Sales_Qatar[[Period]:[Period]],0),9)*AJ12</f>
        <v>10000</v>
      </c>
      <c r="AK32" s="89" t="n">
        <f aca="false">INDEX(Sales_Qatar[],MATCH(AK$8,Sales_Qatar[[Period]:[Period]],0),9)*AK12</f>
        <v>10000</v>
      </c>
      <c r="AL32" s="89" t="n">
        <f aca="false">INDEX(Sales_Qatar[],MATCH(AL$8,Sales_Qatar[[Period]:[Period]],0),9)*AL12</f>
        <v>10000</v>
      </c>
      <c r="AM32" s="89" t="n">
        <f aca="false">INDEX(Sales_Qatar[],MATCH(AM$8,Sales_Qatar[[Period]:[Period]],0),9)*AM12</f>
        <v>10000</v>
      </c>
      <c r="AN32" s="89" t="n">
        <f aca="false">INDEX(Sales_Qatar[],MATCH(AN$8,Sales_Qatar[[Period]:[Period]],0),9)*AN12</f>
        <v>10222.45459752</v>
      </c>
      <c r="AO32" s="89" t="n">
        <f aca="false">INDEX(Sales_Qatar[],MATCH(AO$8,Sales_Qatar[[Period]:[Period]],0),9)*AO12</f>
        <v>11151.76865184</v>
      </c>
      <c r="AP32" s="89" t="n">
        <f aca="false">INDEX(Sales_Qatar[],MATCH(AP$8,Sales_Qatar[[Period]:[Period]],0),9)*AP12</f>
        <v>12081.08270616</v>
      </c>
    </row>
    <row r="33" s="72" customFormat="true" ht="13.5" hidden="false" customHeight="false" outlineLevel="0" collapsed="false">
      <c r="B33" s="90"/>
      <c r="C33" s="90"/>
      <c r="D33" s="88"/>
      <c r="E33" s="79"/>
      <c r="F33" s="79" t="s">
        <v>180</v>
      </c>
      <c r="G33" s="89" t="n">
        <f aca="false">INDEX(Sales_Kuwait[],MATCH(G$8,Sales_Kuwait[[Period]:[Period]],0),9)*G13</f>
        <v>0</v>
      </c>
      <c r="H33" s="89" t="n">
        <f aca="false">INDEX(Sales_Kuwait[],MATCH(H$8,Sales_Kuwait[[Period]:[Period]],0),9)*H13</f>
        <v>0</v>
      </c>
      <c r="I33" s="89" t="n">
        <f aca="false">INDEX(Sales_Kuwait[],MATCH(I$8,Sales_Kuwait[[Period]:[Period]],0),9)*I13</f>
        <v>0</v>
      </c>
      <c r="J33" s="89" t="n">
        <f aca="false">INDEX(Sales_Kuwait[],MATCH(J$8,Sales_Kuwait[[Period]:[Period]],0),9)*J13</f>
        <v>0</v>
      </c>
      <c r="K33" s="89" t="n">
        <f aca="false">INDEX(Sales_Kuwait[],MATCH(K$8,Sales_Kuwait[[Period]:[Period]],0),9)*K13</f>
        <v>0</v>
      </c>
      <c r="L33" s="89" t="n">
        <f aca="false">INDEX(Sales_Kuwait[],MATCH(L$8,Sales_Kuwait[[Period]:[Period]],0),9)*L13</f>
        <v>0</v>
      </c>
      <c r="M33" s="89" t="n">
        <f aca="false">INDEX(Sales_Kuwait[],MATCH(M$8,Sales_Kuwait[[Period]:[Period]],0),9)*M13</f>
        <v>0</v>
      </c>
      <c r="N33" s="89" t="n">
        <f aca="false">INDEX(Sales_Kuwait[],MATCH(N$8,Sales_Kuwait[[Period]:[Period]],0),9)*N13</f>
        <v>0</v>
      </c>
      <c r="O33" s="89" t="n">
        <f aca="false">INDEX(Sales_Kuwait[],MATCH(O$8,Sales_Kuwait[[Period]:[Period]],0),9)*O13</f>
        <v>0</v>
      </c>
      <c r="P33" s="89" t="n">
        <f aca="false">INDEX(Sales_Kuwait[],MATCH(P$8,Sales_Kuwait[[Period]:[Period]],0),9)*P13</f>
        <v>0</v>
      </c>
      <c r="Q33" s="89" t="n">
        <f aca="false">INDEX(Sales_Kuwait[],MATCH(Q$8,Sales_Kuwait[[Period]:[Period]],0),9)*Q13</f>
        <v>0</v>
      </c>
      <c r="R33" s="89" t="n">
        <f aca="false">INDEX(Sales_Kuwait[],MATCH(R$8,Sales_Kuwait[[Period]:[Period]],0),9)*R13</f>
        <v>0</v>
      </c>
      <c r="S33" s="89" t="n">
        <f aca="false">INDEX(Sales_Kuwait[],MATCH(S$8,Sales_Kuwait[[Period]:[Period]],0),9)*S13</f>
        <v>0</v>
      </c>
      <c r="T33" s="89" t="n">
        <f aca="false">INDEX(Sales_Kuwait[],MATCH(T$8,Sales_Kuwait[[Period]:[Period]],0),9)*T13</f>
        <v>0</v>
      </c>
      <c r="U33" s="89" t="n">
        <f aca="false">INDEX(Sales_Kuwait[],MATCH(U$8,Sales_Kuwait[[Period]:[Period]],0),9)*U13</f>
        <v>0</v>
      </c>
      <c r="V33" s="89" t="n">
        <f aca="false">INDEX(Sales_Kuwait[],MATCH(V$8,Sales_Kuwait[[Period]:[Period]],0),9)*V13</f>
        <v>0</v>
      </c>
      <c r="W33" s="89" t="n">
        <f aca="false">INDEX(Sales_Kuwait[],MATCH(W$8,Sales_Kuwait[[Period]:[Period]],0),9)*W13</f>
        <v>0</v>
      </c>
      <c r="X33" s="89" t="n">
        <f aca="false">INDEX(Sales_Kuwait[],MATCH(X$8,Sales_Kuwait[[Period]:[Period]],0),9)*X13</f>
        <v>0</v>
      </c>
      <c r="Y33" s="89" t="n">
        <f aca="false">INDEX(Sales_Kuwait[],MATCH(Y$8,Sales_Kuwait[[Period]:[Period]],0),9)*Y13</f>
        <v>0</v>
      </c>
      <c r="Z33" s="89" t="n">
        <f aca="false">INDEX(Sales_Kuwait[],MATCH(Z$8,Sales_Kuwait[[Period]:[Period]],0),9)*Z13</f>
        <v>10000</v>
      </c>
      <c r="AA33" s="89" t="n">
        <f aca="false">INDEX(Sales_Kuwait[],MATCH(AA$8,Sales_Kuwait[[Period]:[Period]],0),9)*AA13</f>
        <v>10000</v>
      </c>
      <c r="AB33" s="89" t="n">
        <f aca="false">INDEX(Sales_Kuwait[],MATCH(AB$8,Sales_Kuwait[[Period]:[Period]],0),9)*AB13</f>
        <v>10000</v>
      </c>
      <c r="AC33" s="89" t="n">
        <f aca="false">INDEX(Sales_Kuwait[],MATCH(AC$8,Sales_Kuwait[[Period]:[Period]],0),9)*AC13</f>
        <v>10000</v>
      </c>
      <c r="AD33" s="89" t="n">
        <f aca="false">INDEX(Sales_Kuwait[],MATCH(AD$8,Sales_Kuwait[[Period]:[Period]],0),9)*AD13</f>
        <v>10508.25033258</v>
      </c>
      <c r="AE33" s="89" t="n">
        <f aca="false">INDEX(Sales_Kuwait[],MATCH(AE$8,Sales_Kuwait[[Period]:[Period]],0),9)*AE13</f>
        <v>10524.4168715532</v>
      </c>
      <c r="AF33" s="89" t="n">
        <f aca="false">INDEX(Sales_Kuwait[],MATCH(AF$8,Sales_Kuwait[[Period]:[Period]],0),9)*AF13</f>
        <v>10000</v>
      </c>
      <c r="AG33" s="89" t="n">
        <f aca="false">INDEX(Sales_Kuwait[],MATCH(AG$8,Sales_Kuwait[[Period]:[Period]],0),9)*AG13</f>
        <v>10000</v>
      </c>
      <c r="AH33" s="89" t="n">
        <f aca="false">INDEX(Sales_Kuwait[],MATCH(AH$8,Sales_Kuwait[[Period]:[Period]],0),9)*AH13</f>
        <v>10000</v>
      </c>
      <c r="AI33" s="89" t="n">
        <f aca="false">INDEX(Sales_Kuwait[],MATCH(AI$8,Sales_Kuwait[[Period]:[Period]],0),9)*AI13</f>
        <v>10000</v>
      </c>
      <c r="AJ33" s="89" t="n">
        <f aca="false">INDEX(Sales_Kuwait[],MATCH(AJ$8,Sales_Kuwait[[Period]:[Period]],0),9)*AJ13</f>
        <v>10000</v>
      </c>
      <c r="AK33" s="89" t="n">
        <f aca="false">INDEX(Sales_Kuwait[],MATCH(AK$8,Sales_Kuwait[[Period]:[Period]],0),9)*AK13</f>
        <v>10000</v>
      </c>
      <c r="AL33" s="89" t="n">
        <f aca="false">INDEX(Sales_Kuwait[],MATCH(AL$8,Sales_Kuwait[[Period]:[Period]],0),9)*AL13</f>
        <v>10000</v>
      </c>
      <c r="AM33" s="89" t="n">
        <f aca="false">INDEX(Sales_Kuwait[],MATCH(AM$8,Sales_Kuwait[[Period]:[Period]],0),9)*AM13</f>
        <v>10000</v>
      </c>
      <c r="AN33" s="89" t="n">
        <f aca="false">INDEX(Sales_Kuwait[],MATCH(AN$8,Sales_Kuwait[[Period]:[Period]],0),9)*AN13</f>
        <v>10000</v>
      </c>
      <c r="AO33" s="89" t="n">
        <f aca="false">INDEX(Sales_Kuwait[],MATCH(AO$8,Sales_Kuwait[[Period]:[Period]],0),9)*AO13</f>
        <v>10524.4168715532</v>
      </c>
      <c r="AP33" s="89" t="n">
        <f aca="false">INDEX(Sales_Kuwait[],MATCH(AP$8,Sales_Kuwait[[Period]:[Period]],0),9)*AP13</f>
        <v>11401.4516108493</v>
      </c>
    </row>
    <row r="34" s="72" customFormat="true" ht="13.5" hidden="false" customHeight="false" outlineLevel="0" collapsed="false">
      <c r="B34" s="90"/>
      <c r="C34" s="90"/>
      <c r="D34" s="88"/>
      <c r="E34" s="79"/>
      <c r="F34" s="79" t="s">
        <v>181</v>
      </c>
      <c r="G34" s="89" t="n">
        <f aca="false">INDEX(Sales_Turkey[],MATCH(G$8,Sales_Turkey[[Period]:[Period]],0),9)*G14</f>
        <v>0</v>
      </c>
      <c r="H34" s="89" t="n">
        <f aca="false">INDEX(Sales_Turkey[],MATCH(H$8,Sales_Turkey[[Period]:[Period]],0),9)*H14</f>
        <v>0</v>
      </c>
      <c r="I34" s="89" t="n">
        <f aca="false">INDEX(Sales_Turkey[],MATCH(I$8,Sales_Turkey[[Period]:[Period]],0),9)*I14</f>
        <v>0</v>
      </c>
      <c r="J34" s="89" t="n">
        <f aca="false">INDEX(Sales_Turkey[],MATCH(J$8,Sales_Turkey[[Period]:[Period]],0),9)*J14</f>
        <v>0</v>
      </c>
      <c r="K34" s="89" t="n">
        <f aca="false">INDEX(Sales_Turkey[],MATCH(K$8,Sales_Turkey[[Period]:[Period]],0),9)*K14</f>
        <v>0</v>
      </c>
      <c r="L34" s="89" t="n">
        <f aca="false">INDEX(Sales_Turkey[],MATCH(L$8,Sales_Turkey[[Period]:[Period]],0),9)*L14</f>
        <v>0</v>
      </c>
      <c r="M34" s="89" t="n">
        <f aca="false">INDEX(Sales_Turkey[],MATCH(M$8,Sales_Turkey[[Period]:[Period]],0),9)*M14</f>
        <v>0</v>
      </c>
      <c r="N34" s="89" t="n">
        <f aca="false">INDEX(Sales_Turkey[],MATCH(N$8,Sales_Turkey[[Period]:[Period]],0),9)*N14</f>
        <v>0</v>
      </c>
      <c r="O34" s="89" t="n">
        <f aca="false">INDEX(Sales_Turkey[],MATCH(O$8,Sales_Turkey[[Period]:[Period]],0),9)*O14</f>
        <v>0</v>
      </c>
      <c r="P34" s="89" t="n">
        <f aca="false">INDEX(Sales_Turkey[],MATCH(P$8,Sales_Turkey[[Period]:[Period]],0),9)*P14</f>
        <v>0</v>
      </c>
      <c r="Q34" s="89" t="n">
        <f aca="false">INDEX(Sales_Turkey[],MATCH(Q$8,Sales_Turkey[[Period]:[Period]],0),9)*Q14</f>
        <v>0</v>
      </c>
      <c r="R34" s="89" t="n">
        <f aca="false">INDEX(Sales_Turkey[],MATCH(R$8,Sales_Turkey[[Period]:[Period]],0),9)*R14</f>
        <v>0</v>
      </c>
      <c r="S34" s="89" t="n">
        <f aca="false">INDEX(Sales_Turkey[],MATCH(S$8,Sales_Turkey[[Period]:[Period]],0),9)*S14</f>
        <v>0</v>
      </c>
      <c r="T34" s="89" t="n">
        <f aca="false">INDEX(Sales_Turkey[],MATCH(T$8,Sales_Turkey[[Period]:[Period]],0),9)*T14</f>
        <v>0</v>
      </c>
      <c r="U34" s="89" t="n">
        <f aca="false">INDEX(Sales_Turkey[],MATCH(U$8,Sales_Turkey[[Period]:[Period]],0),9)*U14</f>
        <v>0</v>
      </c>
      <c r="V34" s="89" t="n">
        <f aca="false">INDEX(Sales_Turkey[],MATCH(V$8,Sales_Turkey[[Period]:[Period]],0),9)*V14</f>
        <v>0</v>
      </c>
      <c r="W34" s="89" t="n">
        <f aca="false">INDEX(Sales_Turkey[],MATCH(W$8,Sales_Turkey[[Period]:[Period]],0),9)*W14</f>
        <v>0</v>
      </c>
      <c r="X34" s="89" t="n">
        <f aca="false">INDEX(Sales_Turkey[],MATCH(X$8,Sales_Turkey[[Period]:[Period]],0),9)*X14</f>
        <v>0</v>
      </c>
      <c r="Y34" s="89" t="n">
        <f aca="false">INDEX(Sales_Turkey[],MATCH(Y$8,Sales_Turkey[[Period]:[Period]],0),9)*Y14</f>
        <v>0</v>
      </c>
      <c r="Z34" s="89" t="n">
        <f aca="false">INDEX(Sales_Turkey[],MATCH(Z$8,Sales_Turkey[[Period]:[Period]],0),9)*Z14</f>
        <v>0</v>
      </c>
      <c r="AA34" s="89" t="n">
        <f aca="false">INDEX(Sales_Turkey[],MATCH(AA$8,Sales_Turkey[[Period]:[Period]],0),9)*AA14</f>
        <v>0</v>
      </c>
      <c r="AB34" s="89" t="n">
        <f aca="false">INDEX(Sales_Turkey[],MATCH(AB$8,Sales_Turkey[[Period]:[Period]],0),9)*AB14</f>
        <v>0</v>
      </c>
      <c r="AC34" s="89" t="n">
        <f aca="false">INDEX(Sales_Turkey[],MATCH(AC$8,Sales_Turkey[[Period]:[Period]],0),9)*AC14</f>
        <v>0</v>
      </c>
      <c r="AD34" s="89" t="n">
        <f aca="false">INDEX(Sales_Turkey[],MATCH(AD$8,Sales_Turkey[[Period]:[Period]],0),9)*AD14</f>
        <v>10000</v>
      </c>
      <c r="AE34" s="89" t="n">
        <f aca="false">INDEX(Sales_Turkey[],MATCH(AE$8,Sales_Turkey[[Period]:[Period]],0),9)*AE14</f>
        <v>10000</v>
      </c>
      <c r="AF34" s="89" t="n">
        <f aca="false">INDEX(Sales_Turkey[],MATCH(AF$8,Sales_Turkey[[Period]:[Period]],0),9)*AF14</f>
        <v>10000</v>
      </c>
      <c r="AG34" s="89" t="n">
        <f aca="false">INDEX(Sales_Turkey[],MATCH(AG$8,Sales_Turkey[[Period]:[Period]],0),9)*AG14</f>
        <v>10000</v>
      </c>
      <c r="AH34" s="89" t="n">
        <f aca="false">INDEX(Sales_Turkey[],MATCH(AH$8,Sales_Turkey[[Period]:[Period]],0),9)*AH14</f>
        <v>10000</v>
      </c>
      <c r="AI34" s="89" t="n">
        <f aca="false">INDEX(Sales_Turkey[],MATCH(AI$8,Sales_Turkey[[Period]:[Period]],0),9)*AI14</f>
        <v>10000</v>
      </c>
      <c r="AJ34" s="89" t="n">
        <f aca="false">INDEX(Sales_Turkey[],MATCH(AJ$8,Sales_Turkey[[Period]:[Period]],0),9)*AJ14</f>
        <v>10000</v>
      </c>
      <c r="AK34" s="89" t="n">
        <f aca="false">INDEX(Sales_Turkey[],MATCH(AK$8,Sales_Turkey[[Period]:[Period]],0),9)*AK14</f>
        <v>10000</v>
      </c>
      <c r="AL34" s="89" t="n">
        <f aca="false">INDEX(Sales_Turkey[],MATCH(AL$8,Sales_Turkey[[Period]:[Period]],0),9)*AL14</f>
        <v>10000</v>
      </c>
      <c r="AM34" s="89" t="n">
        <f aca="false">INDEX(Sales_Turkey[],MATCH(AM$8,Sales_Turkey[[Period]:[Period]],0),9)*AM14</f>
        <v>10000</v>
      </c>
      <c r="AN34" s="89" t="n">
        <f aca="false">INDEX(Sales_Turkey[],MATCH(AN$8,Sales_Turkey[[Period]:[Period]],0),9)*AN14</f>
        <v>10000</v>
      </c>
      <c r="AO34" s="89" t="n">
        <f aca="false">INDEX(Sales_Turkey[],MATCH(AO$8,Sales_Turkey[[Period]:[Period]],0),9)*AO14</f>
        <v>10000</v>
      </c>
      <c r="AP34" s="89" t="n">
        <f aca="false">INDEX(Sales_Turkey[],MATCH(AP$8,Sales_Turkey[[Period]:[Period]],0),9)*AP14</f>
        <v>10000</v>
      </c>
    </row>
    <row r="35" s="72" customFormat="true" ht="13.5" hidden="false" customHeight="false" outlineLevel="0" collapsed="false">
      <c r="B35" s="90"/>
      <c r="C35" s="90"/>
      <c r="D35" s="88"/>
      <c r="E35" s="79"/>
      <c r="F35" s="79" t="s">
        <v>182</v>
      </c>
      <c r="G35" s="89" t="n">
        <f aca="false">INDEX(Sales_Morocco[],MATCH(G$8,Sales_Morocco[[Period]:[Period]],0),9)*G15</f>
        <v>0</v>
      </c>
      <c r="H35" s="89" t="n">
        <f aca="false">INDEX(Sales_Morocco[],MATCH(H$8,Sales_Morocco[[Period]:[Period]],0),9)*H15</f>
        <v>0</v>
      </c>
      <c r="I35" s="89" t="n">
        <f aca="false">INDEX(Sales_Morocco[],MATCH(I$8,Sales_Morocco[[Period]:[Period]],0),9)*I15</f>
        <v>0</v>
      </c>
      <c r="J35" s="89" t="n">
        <f aca="false">INDEX(Sales_Morocco[],MATCH(J$8,Sales_Morocco[[Period]:[Period]],0),9)*J15</f>
        <v>0</v>
      </c>
      <c r="K35" s="89" t="n">
        <f aca="false">INDEX(Sales_Morocco[],MATCH(K$8,Sales_Morocco[[Period]:[Period]],0),9)*K15</f>
        <v>0</v>
      </c>
      <c r="L35" s="89" t="n">
        <f aca="false">INDEX(Sales_Morocco[],MATCH(L$8,Sales_Morocco[[Period]:[Period]],0),9)*L15</f>
        <v>0</v>
      </c>
      <c r="M35" s="89" t="n">
        <f aca="false">INDEX(Sales_Morocco[],MATCH(M$8,Sales_Morocco[[Period]:[Period]],0),9)*M15</f>
        <v>0</v>
      </c>
      <c r="N35" s="89" t="n">
        <f aca="false">INDEX(Sales_Morocco[],MATCH(N$8,Sales_Morocco[[Period]:[Period]],0),9)*N15</f>
        <v>0</v>
      </c>
      <c r="O35" s="89" t="n">
        <f aca="false">INDEX(Sales_Morocco[],MATCH(O$8,Sales_Morocco[[Period]:[Period]],0),9)*O15</f>
        <v>0</v>
      </c>
      <c r="P35" s="89" t="n">
        <f aca="false">INDEX(Sales_Morocco[],MATCH(P$8,Sales_Morocco[[Period]:[Period]],0),9)*P15</f>
        <v>0</v>
      </c>
      <c r="Q35" s="89" t="n">
        <f aca="false">INDEX(Sales_Morocco[],MATCH(Q$8,Sales_Morocco[[Period]:[Period]],0),9)*Q15</f>
        <v>0</v>
      </c>
      <c r="R35" s="89" t="n">
        <f aca="false">INDEX(Sales_Morocco[],MATCH(R$8,Sales_Morocco[[Period]:[Period]],0),9)*R15</f>
        <v>0</v>
      </c>
      <c r="S35" s="89" t="n">
        <f aca="false">INDEX(Sales_Morocco[],MATCH(S$8,Sales_Morocco[[Period]:[Period]],0),9)*S15</f>
        <v>0</v>
      </c>
      <c r="T35" s="89" t="n">
        <f aca="false">INDEX(Sales_Morocco[],MATCH(T$8,Sales_Morocco[[Period]:[Period]],0),9)*T15</f>
        <v>0</v>
      </c>
      <c r="U35" s="89" t="n">
        <f aca="false">INDEX(Sales_Morocco[],MATCH(U$8,Sales_Morocco[[Period]:[Period]],0),9)*U15</f>
        <v>0</v>
      </c>
      <c r="V35" s="89" t="n">
        <f aca="false">INDEX(Sales_Morocco[],MATCH(V$8,Sales_Morocco[[Period]:[Period]],0),9)*V15</f>
        <v>0</v>
      </c>
      <c r="W35" s="89" t="n">
        <f aca="false">INDEX(Sales_Morocco[],MATCH(W$8,Sales_Morocco[[Period]:[Period]],0),9)*W15</f>
        <v>0</v>
      </c>
      <c r="X35" s="89" t="n">
        <f aca="false">INDEX(Sales_Morocco[],MATCH(X$8,Sales_Morocco[[Period]:[Period]],0),9)*X15</f>
        <v>0</v>
      </c>
      <c r="Y35" s="89" t="n">
        <f aca="false">INDEX(Sales_Morocco[],MATCH(Y$8,Sales_Morocco[[Period]:[Period]],0),9)*Y15</f>
        <v>0</v>
      </c>
      <c r="Z35" s="89" t="n">
        <f aca="false">INDEX(Sales_Morocco[],MATCH(Z$8,Sales_Morocco[[Period]:[Period]],0),9)*Z15</f>
        <v>0</v>
      </c>
      <c r="AA35" s="89" t="n">
        <f aca="false">INDEX(Sales_Morocco[],MATCH(AA$8,Sales_Morocco[[Period]:[Period]],0),9)*AA15</f>
        <v>0</v>
      </c>
      <c r="AB35" s="89" t="n">
        <f aca="false">INDEX(Sales_Morocco[],MATCH(AB$8,Sales_Morocco[[Period]:[Period]],0),9)*AB15</f>
        <v>0</v>
      </c>
      <c r="AC35" s="89" t="n">
        <f aca="false">INDEX(Sales_Morocco[],MATCH(AC$8,Sales_Morocco[[Period]:[Period]],0),9)*AC15</f>
        <v>0</v>
      </c>
      <c r="AD35" s="89" t="n">
        <f aca="false">INDEX(Sales_Morocco[],MATCH(AD$8,Sales_Morocco[[Period]:[Period]],0),9)*AD15</f>
        <v>0</v>
      </c>
      <c r="AE35" s="89" t="n">
        <f aca="false">INDEX(Sales_Morocco[],MATCH(AE$8,Sales_Morocco[[Period]:[Period]],0),9)*AE15</f>
        <v>0</v>
      </c>
      <c r="AF35" s="89" t="n">
        <f aca="false">INDEX(Sales_Morocco[],MATCH(AF$8,Sales_Morocco[[Period]:[Period]],0),9)*AF15</f>
        <v>0</v>
      </c>
      <c r="AG35" s="89" t="n">
        <f aca="false">INDEX(Sales_Morocco[],MATCH(AG$8,Sales_Morocco[[Period]:[Period]],0),9)*AG15</f>
        <v>10000</v>
      </c>
      <c r="AH35" s="89" t="n">
        <f aca="false">INDEX(Sales_Morocco[],MATCH(AH$8,Sales_Morocco[[Period]:[Period]],0),9)*AH15</f>
        <v>10000</v>
      </c>
      <c r="AI35" s="89" t="n">
        <f aca="false">INDEX(Sales_Morocco[],MATCH(AI$8,Sales_Morocco[[Period]:[Period]],0),9)*AI15</f>
        <v>10000</v>
      </c>
      <c r="AJ35" s="89" t="n">
        <f aca="false">INDEX(Sales_Morocco[],MATCH(AJ$8,Sales_Morocco[[Period]:[Period]],0),9)*AJ15</f>
        <v>10000</v>
      </c>
      <c r="AK35" s="89" t="n">
        <f aca="false">INDEX(Sales_Morocco[],MATCH(AK$8,Sales_Morocco[[Period]:[Period]],0),9)*AK15</f>
        <v>10000</v>
      </c>
      <c r="AL35" s="89" t="n">
        <f aca="false">INDEX(Sales_Morocco[],MATCH(AL$8,Sales_Morocco[[Period]:[Period]],0),9)*AL15</f>
        <v>10000</v>
      </c>
      <c r="AM35" s="89" t="n">
        <f aca="false">INDEX(Sales_Morocco[],MATCH(AM$8,Sales_Morocco[[Period]:[Period]],0),9)*AM15</f>
        <v>10000</v>
      </c>
      <c r="AN35" s="89" t="n">
        <f aca="false">INDEX(Sales_Morocco[],MATCH(AN$8,Sales_Morocco[[Period]:[Period]],0),9)*AN15</f>
        <v>10000</v>
      </c>
      <c r="AO35" s="89" t="n">
        <f aca="false">INDEX(Sales_Morocco[],MATCH(AO$8,Sales_Morocco[[Period]:[Period]],0),9)*AO15</f>
        <v>10000</v>
      </c>
      <c r="AP35" s="89" t="n">
        <f aca="false">INDEX(Sales_Morocco[],MATCH(AP$8,Sales_Morocco[[Period]:[Period]],0),9)*AP15</f>
        <v>10000</v>
      </c>
    </row>
    <row r="36" s="72" customFormat="true" ht="13.5" hidden="false" customHeight="false" outlineLevel="0" collapsed="false">
      <c r="B36" s="90"/>
      <c r="C36" s="90"/>
      <c r="D36" s="88"/>
      <c r="E36" s="79"/>
      <c r="F36" s="79" t="s">
        <v>183</v>
      </c>
      <c r="G36" s="89" t="n">
        <f aca="false">INDEX(Sales_Egypt[],MATCH(G$8,Sales_Egypt[[Period]:[Period]],0),9)*G16</f>
        <v>0</v>
      </c>
      <c r="H36" s="89" t="n">
        <f aca="false">INDEX(Sales_Egypt[],MATCH(H$8,Sales_Egypt[[Period]:[Period]],0),9)*H16</f>
        <v>0</v>
      </c>
      <c r="I36" s="89" t="n">
        <f aca="false">INDEX(Sales_Egypt[],MATCH(I$8,Sales_Egypt[[Period]:[Period]],0),9)*I16</f>
        <v>0</v>
      </c>
      <c r="J36" s="89" t="n">
        <f aca="false">INDEX(Sales_Egypt[],MATCH(J$8,Sales_Egypt[[Period]:[Period]],0),9)*J16</f>
        <v>0</v>
      </c>
      <c r="K36" s="89" t="n">
        <f aca="false">INDEX(Sales_Egypt[],MATCH(K$8,Sales_Egypt[[Period]:[Period]],0),9)*K16</f>
        <v>0</v>
      </c>
      <c r="L36" s="89" t="n">
        <f aca="false">INDEX(Sales_Egypt[],MATCH(L$8,Sales_Egypt[[Period]:[Period]],0),9)*L16</f>
        <v>0</v>
      </c>
      <c r="M36" s="89" t="n">
        <f aca="false">INDEX(Sales_Egypt[],MATCH(M$8,Sales_Egypt[[Period]:[Period]],0),9)*M16</f>
        <v>0</v>
      </c>
      <c r="N36" s="89" t="n">
        <f aca="false">INDEX(Sales_Egypt[],MATCH(N$8,Sales_Egypt[[Period]:[Period]],0),9)*N16</f>
        <v>0</v>
      </c>
      <c r="O36" s="89" t="n">
        <f aca="false">INDEX(Sales_Egypt[],MATCH(O$8,Sales_Egypt[[Period]:[Period]],0),9)*O16</f>
        <v>0</v>
      </c>
      <c r="P36" s="89" t="n">
        <f aca="false">INDEX(Sales_Egypt[],MATCH(P$8,Sales_Egypt[[Period]:[Period]],0),9)*P16</f>
        <v>0</v>
      </c>
      <c r="Q36" s="89" t="n">
        <f aca="false">INDEX(Sales_Egypt[],MATCH(Q$8,Sales_Egypt[[Period]:[Period]],0),9)*Q16</f>
        <v>0</v>
      </c>
      <c r="R36" s="89" t="n">
        <f aca="false">INDEX(Sales_Egypt[],MATCH(R$8,Sales_Egypt[[Period]:[Period]],0),9)*R16</f>
        <v>0</v>
      </c>
      <c r="S36" s="89" t="n">
        <f aca="false">INDEX(Sales_Egypt[],MATCH(S$8,Sales_Egypt[[Period]:[Period]],0),9)*S16</f>
        <v>0</v>
      </c>
      <c r="T36" s="89" t="n">
        <f aca="false">INDEX(Sales_Egypt[],MATCH(T$8,Sales_Egypt[[Period]:[Period]],0),9)*T16</f>
        <v>0</v>
      </c>
      <c r="U36" s="89" t="n">
        <f aca="false">INDEX(Sales_Egypt[],MATCH(U$8,Sales_Egypt[[Period]:[Period]],0),9)*U16</f>
        <v>0</v>
      </c>
      <c r="V36" s="89" t="n">
        <f aca="false">INDEX(Sales_Egypt[],MATCH(V$8,Sales_Egypt[[Period]:[Period]],0),9)*V16</f>
        <v>0</v>
      </c>
      <c r="W36" s="89" t="n">
        <f aca="false">INDEX(Sales_Egypt[],MATCH(W$8,Sales_Egypt[[Period]:[Period]],0),9)*W16</f>
        <v>0</v>
      </c>
      <c r="X36" s="89" t="n">
        <f aca="false">INDEX(Sales_Egypt[],MATCH(X$8,Sales_Egypt[[Period]:[Period]],0),9)*X16</f>
        <v>0</v>
      </c>
      <c r="Y36" s="89" t="n">
        <f aca="false">INDEX(Sales_Egypt[],MATCH(Y$8,Sales_Egypt[[Period]:[Period]],0),9)*Y16</f>
        <v>0</v>
      </c>
      <c r="Z36" s="89" t="n">
        <f aca="false">INDEX(Sales_Egypt[],MATCH(Z$8,Sales_Egypt[[Period]:[Period]],0),9)*Z16</f>
        <v>0</v>
      </c>
      <c r="AA36" s="89" t="n">
        <f aca="false">INDEX(Sales_Egypt[],MATCH(AA$8,Sales_Egypt[[Period]:[Period]],0),9)*AA16</f>
        <v>0</v>
      </c>
      <c r="AB36" s="89" t="n">
        <f aca="false">INDEX(Sales_Egypt[],MATCH(AB$8,Sales_Egypt[[Period]:[Period]],0),9)*AB16</f>
        <v>0</v>
      </c>
      <c r="AC36" s="89" t="n">
        <f aca="false">INDEX(Sales_Egypt[],MATCH(AC$8,Sales_Egypt[[Period]:[Period]],0),9)*AC16</f>
        <v>0</v>
      </c>
      <c r="AD36" s="89" t="n">
        <f aca="false">INDEX(Sales_Egypt[],MATCH(AD$8,Sales_Egypt[[Period]:[Period]],0),9)*AD16</f>
        <v>0</v>
      </c>
      <c r="AE36" s="89" t="n">
        <f aca="false">INDEX(Sales_Egypt[],MATCH(AE$8,Sales_Egypt[[Period]:[Period]],0),9)*AE16</f>
        <v>0</v>
      </c>
      <c r="AF36" s="89" t="n">
        <f aca="false">INDEX(Sales_Egypt[],MATCH(AF$8,Sales_Egypt[[Period]:[Period]],0),9)*AF16</f>
        <v>0</v>
      </c>
      <c r="AG36" s="89" t="n">
        <f aca="false">INDEX(Sales_Egypt[],MATCH(AG$8,Sales_Egypt[[Period]:[Period]],0),9)*AG16</f>
        <v>0</v>
      </c>
      <c r="AH36" s="89" t="n">
        <f aca="false">INDEX(Sales_Egypt[],MATCH(AH$8,Sales_Egypt[[Period]:[Period]],0),9)*AH16</f>
        <v>0</v>
      </c>
      <c r="AI36" s="89" t="n">
        <f aca="false">INDEX(Sales_Egypt[],MATCH(AI$8,Sales_Egypt[[Period]:[Period]],0),9)*AI16</f>
        <v>0</v>
      </c>
      <c r="AJ36" s="89" t="n">
        <f aca="false">INDEX(Sales_Egypt[],MATCH(AJ$8,Sales_Egypt[[Period]:[Period]],0),9)*AJ16</f>
        <v>10000</v>
      </c>
      <c r="AK36" s="89" t="n">
        <f aca="false">INDEX(Sales_Egypt[],MATCH(AK$8,Sales_Egypt[[Period]:[Period]],0),9)*AK16</f>
        <v>10000</v>
      </c>
      <c r="AL36" s="89" t="n">
        <f aca="false">INDEX(Sales_Egypt[],MATCH(AL$8,Sales_Egypt[[Period]:[Period]],0),9)*AL16</f>
        <v>10000</v>
      </c>
      <c r="AM36" s="89" t="n">
        <f aca="false">INDEX(Sales_Egypt[],MATCH(AM$8,Sales_Egypt[[Period]:[Period]],0),9)*AM16</f>
        <v>10000</v>
      </c>
      <c r="AN36" s="89" t="n">
        <f aca="false">INDEX(Sales_Egypt[],MATCH(AN$8,Sales_Egypt[[Period]:[Period]],0),9)*AN16</f>
        <v>10199.6276136524</v>
      </c>
      <c r="AO36" s="89" t="n">
        <f aca="false">INDEX(Sales_Egypt[],MATCH(AO$8,Sales_Egypt[[Period]:[Period]],0),9)*AO16</f>
        <v>10000</v>
      </c>
      <c r="AP36" s="89" t="n">
        <f aca="false">INDEX(Sales_Egypt[],MATCH(AP$8,Sales_Egypt[[Period]:[Period]],0),9)*AP16</f>
        <v>10199.6276136524</v>
      </c>
    </row>
    <row r="37" s="72" customFormat="true" ht="13.5" hidden="false" customHeight="false" outlineLevel="0" collapsed="false">
      <c r="B37" s="87"/>
      <c r="C37" s="87"/>
      <c r="D37" s="88"/>
      <c r="E37" s="79"/>
      <c r="F37" s="80" t="s">
        <v>46</v>
      </c>
      <c r="G37" s="89" t="n">
        <f aca="false">SUM(G20:G26,G30:G36)</f>
        <v>13333.3333333333</v>
      </c>
      <c r="H37" s="89" t="n">
        <f aca="false">SUM(H20:H26,H30:H36)</f>
        <v>13333.3333333333</v>
      </c>
      <c r="I37" s="89" t="n">
        <f aca="false">SUM(I20:I26,I30:I36)</f>
        <v>13333.3333333333</v>
      </c>
      <c r="J37" s="89" t="n">
        <f aca="false">SUM(J20:J26,J30:J36)</f>
        <v>13333.3333333333</v>
      </c>
      <c r="K37" s="89" t="n">
        <f aca="false">SUM(K20:K26,K30:K36)</f>
        <v>13333.3333333333</v>
      </c>
      <c r="L37" s="89" t="n">
        <f aca="false">SUM(L20:L26,L30:L36)</f>
        <v>24583.3333333333</v>
      </c>
      <c r="M37" s="89" t="n">
        <f aca="false">SUM(M20:M26,M30:M36)</f>
        <v>24583.3333333333</v>
      </c>
      <c r="N37" s="89" t="n">
        <f aca="false">SUM(N20:N26,N30:N36)</f>
        <v>24583.3333333333</v>
      </c>
      <c r="O37" s="89" t="n">
        <f aca="false">SUM(O20:O26,O30:O36)</f>
        <v>24583.3333333333</v>
      </c>
      <c r="P37" s="89" t="n">
        <f aca="false">SUM(P20:P26,P30:P36)</f>
        <v>37916.6666666667</v>
      </c>
      <c r="Q37" s="89" t="n">
        <f aca="false">SUM(Q20:Q26,Q30:Q36)</f>
        <v>51867.91416</v>
      </c>
      <c r="R37" s="89" t="n">
        <f aca="false">SUM(R20:R26,R30:R36)</f>
        <v>53504.86094</v>
      </c>
      <c r="S37" s="89" t="n">
        <f aca="false">SUM(S20:S26,S30:S36)</f>
        <v>52919.346332</v>
      </c>
      <c r="T37" s="89" t="n">
        <f aca="false">SUM(T20:T26,T30:T36)</f>
        <v>51469.742379</v>
      </c>
      <c r="U37" s="89" t="n">
        <f aca="false">SUM(U20:U26,U30:U36)</f>
        <v>62939.484758</v>
      </c>
      <c r="V37" s="89" t="n">
        <f aca="false">SUM(V20:V26,V30:V36)</f>
        <v>62500</v>
      </c>
      <c r="W37" s="89" t="n">
        <f aca="false">SUM(W20:W26,W30:W36)</f>
        <v>73750</v>
      </c>
      <c r="X37" s="89" t="n">
        <f aca="false">SUM(X20:X26,X30:X36)</f>
        <v>73750</v>
      </c>
      <c r="Y37" s="89" t="n">
        <f aca="false">SUM(Y20:Y26,Y30:Y36)</f>
        <v>73750</v>
      </c>
      <c r="Z37" s="89" t="n">
        <f aca="false">SUM(Z20:Z26,Z30:Z36)</f>
        <v>87083.3333333333</v>
      </c>
      <c r="AA37" s="89" t="n">
        <f aca="false">SUM(AA20:AA26,AA30:AA36)</f>
        <v>87083.3333333333</v>
      </c>
      <c r="AB37" s="89" t="n">
        <f aca="false">SUM(AB20:AB26,AB30:AB36)</f>
        <v>87742.5604703333</v>
      </c>
      <c r="AC37" s="89" t="n">
        <f aca="false">SUM(AC20:AC26,AC30:AC36)</f>
        <v>91050.2994013333</v>
      </c>
      <c r="AD37" s="89" t="n">
        <f aca="false">SUM(AD20:AD26,AD30:AD36)</f>
        <v>108555.796906247</v>
      </c>
      <c r="AE37" s="89" t="n">
        <f aca="false">SUM(AE20:AE26,AE30:AE36)</f>
        <v>107211.60327426</v>
      </c>
      <c r="AF37" s="89" t="n">
        <f aca="false">SUM(AF20:AF26,AF30:AF36)</f>
        <v>102831.309758037</v>
      </c>
      <c r="AG37" s="89" t="n">
        <f aca="false">SUM(AG20:AG26,AG30:AG36)</f>
        <v>116164.64309137</v>
      </c>
      <c r="AH37" s="89" t="n">
        <f aca="false">SUM(AH20:AH26,AH30:AH36)</f>
        <v>113750</v>
      </c>
      <c r="AI37" s="89" t="n">
        <f aca="false">SUM(AI20:AI26,AI30:AI36)</f>
        <v>113750</v>
      </c>
      <c r="AJ37" s="89" t="n">
        <f aca="false">SUM(AJ20:AJ26,AJ30:AJ36)</f>
        <v>127083.333333333</v>
      </c>
      <c r="AK37" s="89" t="n">
        <f aca="false">SUM(AK20:AK26,AK30:AK36)</f>
        <v>127083.333333333</v>
      </c>
      <c r="AL37" s="89" t="n">
        <f aca="false">SUM(AL20:AL26,AL30:AL36)</f>
        <v>127083.333333333</v>
      </c>
      <c r="AM37" s="89" t="n">
        <f aca="false">SUM(AM20:AM26,AM30:AM36)</f>
        <v>127083.333333333</v>
      </c>
      <c r="AN37" s="89" t="n">
        <f aca="false">SUM(AN20:AN26,AN30:AN36)</f>
        <v>129697.604038356</v>
      </c>
      <c r="AO37" s="89" t="n">
        <f aca="false">SUM(AO20:AO26,AO30:AO36)</f>
        <v>133878.269940927</v>
      </c>
      <c r="AP37" s="89" t="n">
        <f aca="false">SUM(AP20:AP26,AP30:AP36)</f>
        <v>138810.808938545</v>
      </c>
      <c r="AR37" s="89" t="n">
        <f aca="false">SUM(Openings_Table[[2024]:[2026]])-SUM(G30:AP36)</f>
        <v>0</v>
      </c>
    </row>
    <row r="38" s="72" customFormat="true" ht="13.5" hidden="false" customHeight="false" outlineLevel="0" collapsed="false">
      <c r="B38" s="87"/>
      <c r="C38" s="87"/>
      <c r="D38" s="88"/>
      <c r="E38" s="79"/>
      <c r="F38" s="80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R38" s="89"/>
    </row>
    <row r="39" s="72" customFormat="true" ht="13.5" hidden="false" customHeight="false" outlineLevel="0" collapsed="false">
      <c r="B39" s="87"/>
      <c r="C39" s="87"/>
      <c r="D39" s="88"/>
      <c r="E39" s="79"/>
      <c r="F39" s="80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R39" s="89"/>
    </row>
    <row r="40" s="72" customFormat="true" ht="13.5" hidden="false" customHeight="false" outlineLevel="0" collapsed="false">
      <c r="B40" s="87"/>
      <c r="C40" s="87"/>
      <c r="D40" s="88"/>
      <c r="E40" s="79"/>
      <c r="F40" s="80" t="s">
        <v>184</v>
      </c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R40" s="89"/>
    </row>
    <row r="41" s="72" customFormat="true" ht="13.5" hidden="false" customHeight="false" outlineLevel="0" collapsed="false">
      <c r="B41" s="91" t="s">
        <v>185</v>
      </c>
      <c r="C41" s="92"/>
      <c r="D41" s="88"/>
      <c r="E41" s="79"/>
      <c r="F41" s="79" t="s">
        <v>186</v>
      </c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R41" s="89"/>
    </row>
    <row r="42" s="72" customFormat="true" ht="13.5" hidden="false" customHeight="false" outlineLevel="0" collapsed="false">
      <c r="B42" s="93" t="s">
        <v>187</v>
      </c>
      <c r="C42" s="92" t="n">
        <v>5000</v>
      </c>
      <c r="D42" s="88" t="s">
        <v>188</v>
      </c>
      <c r="E42" s="79"/>
      <c r="F42" s="79" t="s">
        <v>189</v>
      </c>
      <c r="G42" s="89" t="n">
        <f aca="false">($C$42*(SUM(G10:G16)*2))/12</f>
        <v>833.333333333333</v>
      </c>
      <c r="H42" s="89" t="n">
        <f aca="false">($C$42*(SUM(H10:H16)*2))/12</f>
        <v>833.333333333333</v>
      </c>
      <c r="I42" s="89" t="n">
        <f aca="false">($C$42*(SUM(I10:I16)*2))/12</f>
        <v>833.333333333333</v>
      </c>
      <c r="J42" s="89" t="n">
        <f aca="false">($C$42*(SUM(J10:J16)*2))/12</f>
        <v>833.333333333333</v>
      </c>
      <c r="K42" s="89" t="n">
        <f aca="false">($C$42*(SUM(K10:K16)*2))/12</f>
        <v>833.333333333333</v>
      </c>
      <c r="L42" s="89" t="n">
        <f aca="false">($C$42*(SUM(L10:L16)*2))/12</f>
        <v>1666.66666666667</v>
      </c>
      <c r="M42" s="89" t="n">
        <f aca="false">($C$42*(SUM(M10:M16)*2))/12</f>
        <v>1666.66666666667</v>
      </c>
      <c r="N42" s="89" t="n">
        <f aca="false">($C$42*(SUM(N10:N16)*2))/12</f>
        <v>1666.66666666667</v>
      </c>
      <c r="O42" s="89" t="n">
        <f aca="false">($C$42*(SUM(O10:O16)*2))/12</f>
        <v>1666.66666666667</v>
      </c>
      <c r="P42" s="89" t="n">
        <f aca="false">($C$42*(SUM(P10:P16)*2))/12</f>
        <v>2500</v>
      </c>
      <c r="Q42" s="89" t="n">
        <f aca="false">($C$42*(SUM(Q10:Q16)*2))/12</f>
        <v>3333.33333333333</v>
      </c>
      <c r="R42" s="89" t="n">
        <f aca="false">($C$42*(SUM(R10:R16)*2))/12</f>
        <v>3333.33333333333</v>
      </c>
      <c r="S42" s="89" t="n">
        <f aca="false">($C$42*(SUM(S10:S16)*2))/12</f>
        <v>3333.33333333333</v>
      </c>
      <c r="T42" s="89" t="n">
        <f aca="false">($C$42*(SUM(T10:T16)*2))/12</f>
        <v>3333.33333333333</v>
      </c>
      <c r="U42" s="89" t="n">
        <f aca="false">($C$42*(SUM(U10:U16)*2))/12</f>
        <v>4166.66666666667</v>
      </c>
      <c r="V42" s="89" t="n">
        <f aca="false">($C$42*(SUM(V10:V16)*2))/12</f>
        <v>4166.66666666667</v>
      </c>
      <c r="W42" s="89" t="n">
        <f aca="false">($C$42*(SUM(W10:W16)*2))/12</f>
        <v>5000</v>
      </c>
      <c r="X42" s="89" t="n">
        <f aca="false">($C$42*(SUM(X10:X16)*2))/12</f>
        <v>5000</v>
      </c>
      <c r="Y42" s="89" t="n">
        <f aca="false">($C$42*(SUM(Y10:Y16)*2))/12</f>
        <v>5000</v>
      </c>
      <c r="Z42" s="89" t="n">
        <f aca="false">($C$42*(SUM(Z10:Z16)*2))/12</f>
        <v>5833.33333333333</v>
      </c>
      <c r="AA42" s="89" t="n">
        <f aca="false">($C$42*(SUM(AA10:AA16)*2))/12</f>
        <v>5833.33333333333</v>
      </c>
      <c r="AB42" s="89" t="n">
        <f aca="false">($C$42*(SUM(AB10:AB16)*2))/12</f>
        <v>5833.33333333333</v>
      </c>
      <c r="AC42" s="89" t="n">
        <f aca="false">($C$42*(SUM(AC10:AC16)*2))/12</f>
        <v>5833.33333333333</v>
      </c>
      <c r="AD42" s="89" t="n">
        <f aca="false">($C$42*(SUM(AD10:AD16)*2))/12</f>
        <v>6666.66666666667</v>
      </c>
      <c r="AE42" s="89" t="n">
        <f aca="false">($C$42*(SUM(AE10:AE16)*2))/12</f>
        <v>6666.66666666667</v>
      </c>
      <c r="AF42" s="89" t="n">
        <f aca="false">($C$42*(SUM(AF10:AF16)*2))/12</f>
        <v>6666.66666666667</v>
      </c>
      <c r="AG42" s="89" t="n">
        <f aca="false">($C$42*(SUM(AG10:AG16)*2))/12</f>
        <v>7500</v>
      </c>
      <c r="AH42" s="89" t="n">
        <f aca="false">($C$42*(SUM(AH10:AH16)*2))/12</f>
        <v>7500</v>
      </c>
      <c r="AI42" s="89" t="n">
        <f aca="false">($C$42*(SUM(AI10:AI16)*2))/12</f>
        <v>7500</v>
      </c>
      <c r="AJ42" s="89" t="n">
        <f aca="false">($C$42*(SUM(AJ10:AJ16)*2))/12</f>
        <v>8333.33333333333</v>
      </c>
      <c r="AK42" s="89" t="n">
        <f aca="false">($C$42*(SUM(AK10:AK16)*2))/12</f>
        <v>8333.33333333333</v>
      </c>
      <c r="AL42" s="89" t="n">
        <f aca="false">($C$42*(SUM(AL10:AL16)*2))/12</f>
        <v>8333.33333333333</v>
      </c>
      <c r="AM42" s="89" t="n">
        <f aca="false">($C$42*(SUM(AM10:AM16)*2))/12</f>
        <v>8333.33333333333</v>
      </c>
      <c r="AN42" s="89" t="n">
        <f aca="false">($C$42*(SUM(AN10:AN16)*2))/12</f>
        <v>8333.33333333333</v>
      </c>
      <c r="AO42" s="89" t="n">
        <f aca="false">($C$42*(SUM(AO10:AO16)*2))/12</f>
        <v>8333.33333333333</v>
      </c>
      <c r="AP42" s="89" t="n">
        <f aca="false">($C$42*(SUM(AP10:AP16)*2))/12</f>
        <v>8333.33333333333</v>
      </c>
      <c r="AR42" s="89"/>
    </row>
    <row r="43" customFormat="false" ht="13.5" hidden="false" customHeight="false" outlineLevel="0" collapsed="false">
      <c r="A43" s="72"/>
      <c r="B43" s="93" t="s">
        <v>190</v>
      </c>
      <c r="D43" s="88"/>
      <c r="E43" s="79"/>
      <c r="F43" s="79" t="s">
        <v>191</v>
      </c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R43" s="89"/>
    </row>
    <row r="44" s="72" customFormat="true" ht="13.5" hidden="false" customHeight="false" outlineLevel="0" collapsed="false">
      <c r="B44" s="93" t="s">
        <v>192</v>
      </c>
      <c r="C44" s="92" t="n">
        <v>10000</v>
      </c>
      <c r="D44" s="88" t="s">
        <v>193</v>
      </c>
      <c r="E44" s="79"/>
      <c r="F44" s="79" t="s">
        <v>194</v>
      </c>
      <c r="G44" s="89" t="n">
        <f aca="false">(10000/12)</f>
        <v>833.333333333333</v>
      </c>
      <c r="H44" s="89" t="n">
        <f aca="false">(10000/12)+(SUM(H10:H16)-SUM(G10:G16))*2000</f>
        <v>833.333333333333</v>
      </c>
      <c r="I44" s="89" t="n">
        <f aca="false">(10000/12)+(SUM(I10:I16)-SUM(H10:H16))*2000</f>
        <v>833.333333333333</v>
      </c>
      <c r="J44" s="89" t="n">
        <f aca="false">(10000/12)+(SUM(J10:J16)-SUM(I10:I16))*2000</f>
        <v>833.333333333333</v>
      </c>
      <c r="K44" s="89" t="n">
        <f aca="false">(10000/12)+(SUM(K10:K16)-SUM(J10:J16))*2000</f>
        <v>833.333333333333</v>
      </c>
      <c r="L44" s="89" t="n">
        <f aca="false">(10000/12)+(SUM(L10:L16)-SUM(K10:K16))*2000</f>
        <v>2833.33333333333</v>
      </c>
      <c r="M44" s="89" t="n">
        <f aca="false">(10000/12)+(SUM(M10:M16)-SUM(L10:L16))*2000</f>
        <v>833.333333333333</v>
      </c>
      <c r="N44" s="89" t="n">
        <f aca="false">(10000/12)+(SUM(N10:N16)-SUM(M10:M16))*2000</f>
        <v>833.333333333333</v>
      </c>
      <c r="O44" s="89" t="n">
        <f aca="false">(10000/12)+(SUM(O10:O16)-SUM(N10:N16))*2000</f>
        <v>833.333333333333</v>
      </c>
      <c r="P44" s="89" t="n">
        <f aca="false">(10000/12)+(SUM(P10:P16)-SUM(O10:O16))*2000</f>
        <v>2833.33333333333</v>
      </c>
      <c r="Q44" s="89" t="n">
        <f aca="false">(10000/12)+(SUM(Q10:Q16)-SUM(P10:P16))*2000</f>
        <v>2833.33333333333</v>
      </c>
      <c r="R44" s="89" t="n">
        <f aca="false">(10000/12)+(SUM(R10:R16)-SUM(Q10:Q16))*2000</f>
        <v>833.333333333333</v>
      </c>
      <c r="S44" s="89" t="n">
        <f aca="false">(10000/12)+(SUM(S10:S16)-SUM(R10:R16))*2000</f>
        <v>833.333333333333</v>
      </c>
      <c r="T44" s="89" t="n">
        <f aca="false">(10000/12)+(SUM(T10:T16)-SUM(S10:S16))*2000</f>
        <v>833.333333333333</v>
      </c>
      <c r="U44" s="89" t="n">
        <f aca="false">(10000/12)+(SUM(U10:U16)-SUM(T10:T16))*2000</f>
        <v>2833.33333333333</v>
      </c>
      <c r="V44" s="89" t="n">
        <f aca="false">(10000/12)+(SUM(V10:V16)-SUM(U10:U16))*2000</f>
        <v>833.333333333333</v>
      </c>
      <c r="W44" s="89" t="n">
        <f aca="false">(10000/12)+(SUM(W10:W16)-SUM(V10:V16))*2000</f>
        <v>2833.33333333333</v>
      </c>
      <c r="X44" s="89" t="n">
        <f aca="false">(10000/12)+(SUM(X10:X16)-SUM(W10:W16))*2000</f>
        <v>833.333333333333</v>
      </c>
      <c r="Y44" s="89" t="n">
        <f aca="false">(10000/12)+(SUM(Y10:Y16)-SUM(X10:X16))*2000</f>
        <v>833.333333333333</v>
      </c>
      <c r="Z44" s="89" t="n">
        <f aca="false">(10000/12)+(SUM(Z10:Z16)-SUM(Y10:Y16))*2000</f>
        <v>2833.33333333333</v>
      </c>
      <c r="AA44" s="89" t="n">
        <f aca="false">(10000/12)+(SUM(AA10:AA16)-SUM(Z10:Z16))*2000</f>
        <v>833.333333333333</v>
      </c>
      <c r="AB44" s="89" t="n">
        <f aca="false">(10000/12)+(SUM(AB10:AB16)-SUM(AA10:AA16))*2000</f>
        <v>833.333333333333</v>
      </c>
      <c r="AC44" s="89" t="n">
        <f aca="false">(10000/12)+(SUM(AC10:AC16)-SUM(AB10:AB16))*2000</f>
        <v>833.333333333333</v>
      </c>
      <c r="AD44" s="89" t="n">
        <f aca="false">(10000/12)+(SUM(AD10:AD16)-SUM(AC10:AC16))*2000</f>
        <v>2833.33333333333</v>
      </c>
      <c r="AE44" s="89" t="n">
        <f aca="false">(10000/12)+(SUM(AE10:AE16)-SUM(AD10:AD16))*2000</f>
        <v>833.333333333333</v>
      </c>
      <c r="AF44" s="89" t="n">
        <f aca="false">(10000/12)+(SUM(AF10:AF16)-SUM(AE10:AE16))*2000</f>
        <v>833.333333333333</v>
      </c>
      <c r="AG44" s="89" t="n">
        <f aca="false">(10000/12)+(SUM(AG10:AG16)-SUM(AF10:AF16))*2000</f>
        <v>2833.33333333333</v>
      </c>
      <c r="AH44" s="89" t="n">
        <f aca="false">(10000/12)+(SUM(AH10:AH16)-SUM(AG10:AG16))*2000</f>
        <v>833.333333333333</v>
      </c>
      <c r="AI44" s="89" t="n">
        <f aca="false">(10000/12)+(SUM(AI10:AI16)-SUM(AH10:AH16))*2000</f>
        <v>833.333333333333</v>
      </c>
      <c r="AJ44" s="89" t="n">
        <f aca="false">(10000/12)+(SUM(AJ10:AJ16)-SUM(AI10:AI16))*2000</f>
        <v>2833.33333333333</v>
      </c>
      <c r="AK44" s="89" t="n">
        <f aca="false">(10000/12)+(SUM(AK10:AK16)-SUM(AJ10:AJ16))*2000</f>
        <v>833.333333333333</v>
      </c>
      <c r="AL44" s="89" t="n">
        <f aca="false">(10000/12)+(SUM(AL10:AL16)-SUM(AK10:AK16))*2000</f>
        <v>833.333333333333</v>
      </c>
      <c r="AM44" s="89" t="n">
        <f aca="false">(10000/12)+(SUM(AM10:AM16)-SUM(AL10:AL16))*2000</f>
        <v>833.333333333333</v>
      </c>
      <c r="AN44" s="89" t="n">
        <f aca="false">(10000/12)+(SUM(AN10:AN16)-SUM(AM10:AM16))*2000</f>
        <v>833.333333333333</v>
      </c>
      <c r="AO44" s="89" t="n">
        <f aca="false">(10000/12)+(SUM(AO10:AO16)-SUM(AN10:AN16))*2000</f>
        <v>833.333333333333</v>
      </c>
      <c r="AP44" s="89" t="n">
        <f aca="false">(10000/12)+(SUM(AP10:AP16)-SUM(AO10:AO16))*2000</f>
        <v>833.333333333333</v>
      </c>
      <c r="AR44" s="89"/>
    </row>
    <row r="45" s="72" customFormat="true" ht="13.5" hidden="false" customHeight="false" outlineLevel="0" collapsed="false">
      <c r="B45" s="93" t="s">
        <v>195</v>
      </c>
      <c r="C45" s="94" t="s">
        <v>196</v>
      </c>
      <c r="D45" s="88" t="s">
        <v>197</v>
      </c>
      <c r="E45" s="79"/>
      <c r="F45" s="79" t="s">
        <v>198</v>
      </c>
      <c r="G45" s="89" t="n">
        <f aca="false">(20000+2000*SUM(G10:G16))/12</f>
        <v>1833.33333333333</v>
      </c>
      <c r="H45" s="89" t="n">
        <f aca="false">(20000+2000*SUM(H10:H16))/12</f>
        <v>1833.33333333333</v>
      </c>
      <c r="I45" s="89" t="n">
        <f aca="false">(20000+2000*SUM(I10:I16))/12</f>
        <v>1833.33333333333</v>
      </c>
      <c r="J45" s="89" t="n">
        <f aca="false">(20000+2000*SUM(J10:J16))/12</f>
        <v>1833.33333333333</v>
      </c>
      <c r="K45" s="89" t="n">
        <f aca="false">(20000+2000*SUM(K10:K16))/12</f>
        <v>1833.33333333333</v>
      </c>
      <c r="L45" s="89" t="n">
        <f aca="false">(20000+2000*SUM(L10:L16))/12</f>
        <v>2000</v>
      </c>
      <c r="M45" s="89" t="n">
        <f aca="false">(20000+2000*SUM(M10:M16))/12</f>
        <v>2000</v>
      </c>
      <c r="N45" s="89" t="n">
        <f aca="false">(20000+2000*SUM(N10:N16))/12</f>
        <v>2000</v>
      </c>
      <c r="O45" s="89" t="n">
        <f aca="false">(20000+2000*SUM(O10:O16))/12</f>
        <v>2000</v>
      </c>
      <c r="P45" s="89" t="n">
        <f aca="false">(20000+2000*SUM(P10:P16))/12</f>
        <v>2166.66666666667</v>
      </c>
      <c r="Q45" s="89" t="n">
        <f aca="false">(20000+2000*SUM(Q10:Q16))/12</f>
        <v>2333.33333333333</v>
      </c>
      <c r="R45" s="89" t="n">
        <f aca="false">(20000+2000*SUM(R10:R16))/12</f>
        <v>2333.33333333333</v>
      </c>
      <c r="S45" s="89" t="n">
        <f aca="false">(20000+2000*SUM(S10:S16))/12</f>
        <v>2333.33333333333</v>
      </c>
      <c r="T45" s="89" t="n">
        <f aca="false">(20000+2000*SUM(T10:T16))/12</f>
        <v>2333.33333333333</v>
      </c>
      <c r="U45" s="89" t="n">
        <f aca="false">(20000+2000*SUM(U10:U16))/12</f>
        <v>2500</v>
      </c>
      <c r="V45" s="89" t="n">
        <f aca="false">(20000+2000*SUM(V10:V16))/12</f>
        <v>2500</v>
      </c>
      <c r="W45" s="89" t="n">
        <f aca="false">(20000+2000*SUM(W10:W16))/12</f>
        <v>2666.66666666667</v>
      </c>
      <c r="X45" s="89" t="n">
        <f aca="false">(20000+2000*SUM(X10:X16))/12</f>
        <v>2666.66666666667</v>
      </c>
      <c r="Y45" s="89" t="n">
        <f aca="false">(20000+2000*SUM(Y10:Y16))/12</f>
        <v>2666.66666666667</v>
      </c>
      <c r="Z45" s="89" t="n">
        <f aca="false">(20000+2000*SUM(Z10:Z16))/12</f>
        <v>2833.33333333333</v>
      </c>
      <c r="AA45" s="89" t="n">
        <f aca="false">(20000+2000*SUM(AA10:AA16))/12</f>
        <v>2833.33333333333</v>
      </c>
      <c r="AB45" s="89" t="n">
        <f aca="false">(20000+2000*SUM(AB10:AB16))/12</f>
        <v>2833.33333333333</v>
      </c>
      <c r="AC45" s="89" t="n">
        <f aca="false">(20000+2000*SUM(AC10:AC16))/12</f>
        <v>2833.33333333333</v>
      </c>
      <c r="AD45" s="89" t="n">
        <f aca="false">(20000+2000*SUM(AD10:AD16))/12</f>
        <v>3000</v>
      </c>
      <c r="AE45" s="89" t="n">
        <f aca="false">(20000+2000*SUM(AE10:AE16))/12</f>
        <v>3000</v>
      </c>
      <c r="AF45" s="89" t="n">
        <f aca="false">(20000+2000*SUM(AF10:AF16))/12</f>
        <v>3000</v>
      </c>
      <c r="AG45" s="89" t="n">
        <f aca="false">(20000+2000*SUM(AG10:AG16))/12</f>
        <v>3166.66666666667</v>
      </c>
      <c r="AH45" s="89" t="n">
        <f aca="false">(20000+2000*SUM(AH10:AH16))/12</f>
        <v>3166.66666666667</v>
      </c>
      <c r="AI45" s="89" t="n">
        <f aca="false">(20000+2000*SUM(AI10:AI16))/12</f>
        <v>3166.66666666667</v>
      </c>
      <c r="AJ45" s="89" t="n">
        <f aca="false">(20000+2000*SUM(AJ10:AJ16))/12</f>
        <v>3333.33333333333</v>
      </c>
      <c r="AK45" s="89" t="n">
        <f aca="false">(20000+2000*SUM(AK10:AK16))/12</f>
        <v>3333.33333333333</v>
      </c>
      <c r="AL45" s="89" t="n">
        <f aca="false">(20000+2000*SUM(AL10:AL16))/12</f>
        <v>3333.33333333333</v>
      </c>
      <c r="AM45" s="89" t="n">
        <f aca="false">(20000+2000*SUM(AM10:AM16))/12</f>
        <v>3333.33333333333</v>
      </c>
      <c r="AN45" s="89" t="n">
        <f aca="false">(20000+2000*SUM(AN10:AN16))/12</f>
        <v>3333.33333333333</v>
      </c>
      <c r="AO45" s="89" t="n">
        <f aca="false">(20000+2000*SUM(AO10:AO16))/12</f>
        <v>3333.33333333333</v>
      </c>
      <c r="AP45" s="89" t="n">
        <f aca="false">(20000+2000*SUM(AP10:AP16))/12</f>
        <v>3333.33333333333</v>
      </c>
      <c r="AR45" s="89"/>
    </row>
    <row r="46" s="72" customFormat="true" ht="13.5" hidden="false" customHeight="false" outlineLevel="0" collapsed="false">
      <c r="B46" s="93" t="s">
        <v>199</v>
      </c>
      <c r="C46" s="92"/>
      <c r="D46" s="88"/>
      <c r="E46" s="79"/>
      <c r="F46" s="79" t="s">
        <v>200</v>
      </c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R46" s="89"/>
    </row>
    <row r="47" s="72" customFormat="true" ht="13.5" hidden="false" customHeight="false" outlineLevel="0" collapsed="false">
      <c r="B47" s="93" t="s">
        <v>201</v>
      </c>
      <c r="C47" s="92"/>
      <c r="D47" s="88"/>
      <c r="E47" s="79"/>
      <c r="F47" s="79" t="s">
        <v>202</v>
      </c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R47" s="89"/>
    </row>
    <row r="48" s="72" customFormat="true" ht="13.5" hidden="false" customHeight="false" outlineLevel="0" collapsed="false">
      <c r="B48" s="87"/>
      <c r="C48" s="87"/>
      <c r="D48" s="88"/>
      <c r="E48" s="79"/>
      <c r="F48" s="80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R48" s="89"/>
    </row>
    <row r="49" s="72" customFormat="true" ht="13.5" hidden="false" customHeight="false" outlineLevel="0" collapsed="false">
      <c r="B49" s="87"/>
      <c r="C49" s="87"/>
      <c r="D49" s="88"/>
      <c r="E49" s="79"/>
      <c r="F49" s="80" t="s">
        <v>47</v>
      </c>
      <c r="G49" s="89" t="n">
        <f aca="false">SUM(G41:G47)</f>
        <v>3500</v>
      </c>
      <c r="H49" s="89" t="n">
        <f aca="false">SUM(H41:H47)</f>
        <v>3500</v>
      </c>
      <c r="I49" s="89" t="n">
        <f aca="false">SUM(I41:I47)</f>
        <v>3500</v>
      </c>
      <c r="J49" s="89" t="n">
        <f aca="false">SUM(J41:J47)</f>
        <v>3500</v>
      </c>
      <c r="K49" s="89" t="n">
        <f aca="false">SUM(K41:K47)</f>
        <v>3500</v>
      </c>
      <c r="L49" s="89" t="n">
        <f aca="false">SUM(L41:L47)</f>
        <v>6500</v>
      </c>
      <c r="M49" s="89" t="n">
        <f aca="false">SUM(M41:M47)</f>
        <v>4500</v>
      </c>
      <c r="N49" s="89" t="n">
        <f aca="false">SUM(N41:N47)</f>
        <v>4500</v>
      </c>
      <c r="O49" s="89" t="n">
        <f aca="false">SUM(O41:O47)</f>
        <v>4500</v>
      </c>
      <c r="P49" s="89" t="n">
        <f aca="false">SUM(P41:P47)</f>
        <v>7500</v>
      </c>
      <c r="Q49" s="89" t="n">
        <f aca="false">SUM(Q41:Q47)</f>
        <v>8500</v>
      </c>
      <c r="R49" s="89" t="n">
        <f aca="false">SUM(R41:R47)</f>
        <v>6500</v>
      </c>
      <c r="S49" s="89" t="n">
        <f aca="false">SUM(S41:S47)</f>
        <v>6500</v>
      </c>
      <c r="T49" s="89" t="n">
        <f aca="false">SUM(T41:T47)</f>
        <v>6500</v>
      </c>
      <c r="U49" s="89" t="n">
        <f aca="false">SUM(U41:U47)</f>
        <v>9500</v>
      </c>
      <c r="V49" s="89" t="n">
        <f aca="false">SUM(V41:V47)</f>
        <v>7500</v>
      </c>
      <c r="W49" s="89" t="n">
        <f aca="false">SUM(W41:W47)</f>
        <v>10500</v>
      </c>
      <c r="X49" s="89" t="n">
        <f aca="false">SUM(X41:X47)</f>
        <v>8500</v>
      </c>
      <c r="Y49" s="89" t="n">
        <f aca="false">SUM(Y41:Y47)</f>
        <v>8500</v>
      </c>
      <c r="Z49" s="89" t="n">
        <f aca="false">SUM(Z41:Z47)</f>
        <v>11500</v>
      </c>
      <c r="AA49" s="89" t="n">
        <f aca="false">SUM(AA41:AA47)</f>
        <v>9500</v>
      </c>
      <c r="AB49" s="89" t="n">
        <f aca="false">SUM(AB41:AB47)</f>
        <v>9500</v>
      </c>
      <c r="AC49" s="89" t="n">
        <f aca="false">SUM(AC41:AC47)</f>
        <v>9500</v>
      </c>
      <c r="AD49" s="89" t="n">
        <f aca="false">SUM(AD41:AD47)</f>
        <v>12500</v>
      </c>
      <c r="AE49" s="89" t="n">
        <f aca="false">SUM(AE41:AE47)</f>
        <v>10500</v>
      </c>
      <c r="AF49" s="89" t="n">
        <f aca="false">SUM(AF41:AF47)</f>
        <v>10500</v>
      </c>
      <c r="AG49" s="89" t="n">
        <f aca="false">SUM(AG41:AG47)</f>
        <v>13500</v>
      </c>
      <c r="AH49" s="89" t="n">
        <f aca="false">SUM(AH41:AH47)</f>
        <v>11500</v>
      </c>
      <c r="AI49" s="89" t="n">
        <f aca="false">SUM(AI41:AI47)</f>
        <v>11500</v>
      </c>
      <c r="AJ49" s="89" t="n">
        <f aca="false">SUM(AJ41:AJ47)</f>
        <v>14500</v>
      </c>
      <c r="AK49" s="89" t="n">
        <f aca="false">SUM(AK41:AK47)</f>
        <v>12500</v>
      </c>
      <c r="AL49" s="89" t="n">
        <f aca="false">SUM(AL41:AL47)</f>
        <v>12500</v>
      </c>
      <c r="AM49" s="89" t="n">
        <f aca="false">SUM(AM41:AM47)</f>
        <v>12500</v>
      </c>
      <c r="AN49" s="89" t="n">
        <f aca="false">SUM(AN41:AN47)</f>
        <v>12500</v>
      </c>
      <c r="AO49" s="89" t="n">
        <f aca="false">SUM(AO41:AO47)</f>
        <v>12500</v>
      </c>
      <c r="AP49" s="89" t="n">
        <f aca="false">SUM(AP41:AP47)</f>
        <v>12500</v>
      </c>
      <c r="AR49" s="89"/>
    </row>
    <row r="50" s="72" customFormat="true" ht="13.5" hidden="false" customHeight="false" outlineLevel="0" collapsed="false">
      <c r="B50" s="87"/>
      <c r="C50" s="87"/>
      <c r="D50" s="88"/>
      <c r="E50" s="79"/>
      <c r="F50" s="80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</row>
    <row r="51" s="72" customFormat="true" ht="13.5" hidden="false" customHeight="false" outlineLevel="0" collapsed="false">
      <c r="B51" s="87"/>
      <c r="C51" s="87"/>
      <c r="D51" s="88"/>
      <c r="E51" s="79"/>
      <c r="F51" s="80" t="s">
        <v>203</v>
      </c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</row>
    <row r="52" s="72" customFormat="true" ht="13.5" hidden="false" customHeight="false" outlineLevel="0" collapsed="false">
      <c r="C52" s="95" t="s">
        <v>204</v>
      </c>
      <c r="D52" s="88" t="s">
        <v>205</v>
      </c>
      <c r="E52" s="79"/>
      <c r="F52" s="79" t="s">
        <v>206</v>
      </c>
      <c r="G52" s="89" t="n">
        <f aca="false">5000+1000*SUM(G10:G16)</f>
        <v>6000</v>
      </c>
      <c r="H52" s="89" t="n">
        <f aca="false">5000+1000*SUM(H10:H16)</f>
        <v>6000</v>
      </c>
      <c r="I52" s="89" t="n">
        <f aca="false">5000+1000*SUM(I10:I16)</f>
        <v>6000</v>
      </c>
      <c r="J52" s="89" t="n">
        <f aca="false">5000+1000*SUM(J10:J16)</f>
        <v>6000</v>
      </c>
      <c r="K52" s="89" t="n">
        <f aca="false">5000+1000*SUM(K10:K16)</f>
        <v>6000</v>
      </c>
      <c r="L52" s="89" t="n">
        <f aca="false">5000+1000*SUM(L10:L16)</f>
        <v>7000</v>
      </c>
      <c r="M52" s="89" t="n">
        <f aca="false">5000+1000*SUM(M10:M16)</f>
        <v>7000</v>
      </c>
      <c r="N52" s="89" t="n">
        <f aca="false">5000+1000*SUM(N10:N16)</f>
        <v>7000</v>
      </c>
      <c r="O52" s="89" t="n">
        <f aca="false">5000+1000*SUM(O10:O16)</f>
        <v>7000</v>
      </c>
      <c r="P52" s="89" t="n">
        <f aca="false">5000+1000*SUM(P10:P16)</f>
        <v>8000</v>
      </c>
      <c r="Q52" s="89" t="n">
        <f aca="false">5000+1000*SUM(Q10:Q16)</f>
        <v>9000</v>
      </c>
      <c r="R52" s="89" t="n">
        <f aca="false">5000+1000*SUM(R10:R16)</f>
        <v>9000</v>
      </c>
      <c r="S52" s="89" t="n">
        <f aca="false">5000+1000*SUM(S10:S16)</f>
        <v>9000</v>
      </c>
      <c r="T52" s="89" t="n">
        <f aca="false">5000+1000*SUM(T10:T16)</f>
        <v>9000</v>
      </c>
      <c r="U52" s="89" t="n">
        <f aca="false">5000+1000*SUM(U10:U16)</f>
        <v>10000</v>
      </c>
      <c r="V52" s="89" t="n">
        <f aca="false">5000+1000*SUM(V10:V16)</f>
        <v>10000</v>
      </c>
      <c r="W52" s="89" t="n">
        <f aca="false">5000+1000*SUM(W10:W16)</f>
        <v>11000</v>
      </c>
      <c r="X52" s="89" t="n">
        <f aca="false">5000+1000*SUM(X10:X16)</f>
        <v>11000</v>
      </c>
      <c r="Y52" s="89" t="n">
        <f aca="false">5000+1000*SUM(Y10:Y16)</f>
        <v>11000</v>
      </c>
      <c r="Z52" s="89" t="n">
        <f aca="false">5000+1000*SUM(Z10:Z16)</f>
        <v>12000</v>
      </c>
      <c r="AA52" s="89" t="n">
        <f aca="false">5000+1000*SUM(AA10:AA16)</f>
        <v>12000</v>
      </c>
      <c r="AB52" s="89" t="n">
        <f aca="false">5000+1000*SUM(AB10:AB16)</f>
        <v>12000</v>
      </c>
      <c r="AC52" s="89" t="n">
        <f aca="false">5000+1000*SUM(AC10:AC16)</f>
        <v>12000</v>
      </c>
      <c r="AD52" s="89" t="n">
        <f aca="false">5000+1000*SUM(AD10:AD16)</f>
        <v>13000</v>
      </c>
      <c r="AE52" s="89" t="n">
        <f aca="false">5000+1000*SUM(AE10:AE16)</f>
        <v>13000</v>
      </c>
      <c r="AF52" s="89" t="n">
        <f aca="false">5000+1000*SUM(AF10:AF16)</f>
        <v>13000</v>
      </c>
      <c r="AG52" s="89" t="n">
        <f aca="false">5000+1000*SUM(AG10:AG16)</f>
        <v>14000</v>
      </c>
      <c r="AH52" s="89" t="n">
        <f aca="false">5000+1000*SUM(AH10:AH16)</f>
        <v>14000</v>
      </c>
      <c r="AI52" s="89" t="n">
        <f aca="false">5000+1000*SUM(AI10:AI16)</f>
        <v>14000</v>
      </c>
      <c r="AJ52" s="89" t="n">
        <f aca="false">5000+1000*SUM(AJ10:AJ16)</f>
        <v>15000</v>
      </c>
      <c r="AK52" s="89" t="n">
        <f aca="false">5000+1000*SUM(AK10:AK16)</f>
        <v>15000</v>
      </c>
      <c r="AL52" s="89" t="n">
        <f aca="false">5000+1000*SUM(AL10:AL16)</f>
        <v>15000</v>
      </c>
      <c r="AM52" s="89" t="n">
        <f aca="false">5000+1000*SUM(AM10:AM16)</f>
        <v>15000</v>
      </c>
      <c r="AN52" s="89" t="n">
        <f aca="false">5000+1000*SUM(AN10:AN16)</f>
        <v>15000</v>
      </c>
      <c r="AO52" s="89" t="n">
        <f aca="false">5000+1000*SUM(AO10:AO16)</f>
        <v>15000</v>
      </c>
      <c r="AP52" s="89" t="n">
        <f aca="false">5000+1000*SUM(AP10:AP16)</f>
        <v>15000</v>
      </c>
    </row>
    <row r="53" s="72" customFormat="true" ht="13.5" hidden="false" customHeight="false" outlineLevel="0" collapsed="false">
      <c r="C53" s="92" t="s">
        <v>207</v>
      </c>
      <c r="D53" s="88" t="s">
        <v>205</v>
      </c>
      <c r="E53" s="79"/>
      <c r="F53" s="79" t="s">
        <v>208</v>
      </c>
      <c r="G53" s="89" t="n">
        <f aca="false">2500+500*SUM(G10:G16)</f>
        <v>3000</v>
      </c>
      <c r="H53" s="89" t="n">
        <f aca="false">2500+500*SUM(H10:H16)</f>
        <v>3000</v>
      </c>
      <c r="I53" s="89" t="n">
        <f aca="false">2500+500*SUM(I10:I16)</f>
        <v>3000</v>
      </c>
      <c r="J53" s="89" t="n">
        <f aca="false">2500+500*SUM(J10:J16)</f>
        <v>3000</v>
      </c>
      <c r="K53" s="89" t="n">
        <f aca="false">2500+500*SUM(K10:K16)</f>
        <v>3000</v>
      </c>
      <c r="L53" s="89" t="n">
        <f aca="false">2500+500*SUM(L10:L16)</f>
        <v>3500</v>
      </c>
      <c r="M53" s="89" t="n">
        <f aca="false">2500+500*SUM(M10:M16)</f>
        <v>3500</v>
      </c>
      <c r="N53" s="89" t="n">
        <f aca="false">2500+500*SUM(N10:N16)</f>
        <v>3500</v>
      </c>
      <c r="O53" s="89" t="n">
        <f aca="false">2500+500*SUM(O10:O16)</f>
        <v>3500</v>
      </c>
      <c r="P53" s="89" t="n">
        <f aca="false">2500+500*SUM(P10:P16)</f>
        <v>4000</v>
      </c>
      <c r="Q53" s="89" t="n">
        <f aca="false">2500+500*SUM(Q10:Q16)</f>
        <v>4500</v>
      </c>
      <c r="R53" s="89" t="n">
        <f aca="false">2500+500*SUM(R10:R16)</f>
        <v>4500</v>
      </c>
      <c r="S53" s="89" t="n">
        <f aca="false">2500+500*SUM(S10:S16)</f>
        <v>4500</v>
      </c>
      <c r="T53" s="89" t="n">
        <f aca="false">2500+500*SUM(T10:T16)</f>
        <v>4500</v>
      </c>
      <c r="U53" s="89" t="n">
        <f aca="false">2500+500*SUM(U10:U16)</f>
        <v>5000</v>
      </c>
      <c r="V53" s="89" t="n">
        <f aca="false">2500+500*SUM(V10:V16)</f>
        <v>5000</v>
      </c>
      <c r="W53" s="89" t="n">
        <f aca="false">2500+500*SUM(W10:W16)</f>
        <v>5500</v>
      </c>
      <c r="X53" s="89" t="n">
        <f aca="false">2500+500*SUM(X10:X16)</f>
        <v>5500</v>
      </c>
      <c r="Y53" s="89" t="n">
        <f aca="false">2500+500*SUM(Y10:Y16)</f>
        <v>5500</v>
      </c>
      <c r="Z53" s="89" t="n">
        <f aca="false">2500+500*SUM(Z10:Z16)</f>
        <v>6000</v>
      </c>
      <c r="AA53" s="89" t="n">
        <f aca="false">2500+500*SUM(AA10:AA16)</f>
        <v>6000</v>
      </c>
      <c r="AB53" s="89" t="n">
        <f aca="false">2500+500*SUM(AB10:AB16)</f>
        <v>6000</v>
      </c>
      <c r="AC53" s="89" t="n">
        <f aca="false">2500+500*SUM(AC10:AC16)</f>
        <v>6000</v>
      </c>
      <c r="AD53" s="89" t="n">
        <f aca="false">2500+500*SUM(AD10:AD16)</f>
        <v>6500</v>
      </c>
      <c r="AE53" s="89" t="n">
        <f aca="false">2500+500*SUM(AE10:AE16)</f>
        <v>6500</v>
      </c>
      <c r="AF53" s="89" t="n">
        <f aca="false">2500+500*SUM(AF10:AF16)</f>
        <v>6500</v>
      </c>
      <c r="AG53" s="89" t="n">
        <f aca="false">2500+500*SUM(AG10:AG16)</f>
        <v>7000</v>
      </c>
      <c r="AH53" s="89" t="n">
        <f aca="false">2500+500*SUM(AH10:AH16)</f>
        <v>7000</v>
      </c>
      <c r="AI53" s="89" t="n">
        <f aca="false">2500+500*SUM(AI10:AI16)</f>
        <v>7000</v>
      </c>
      <c r="AJ53" s="89" t="n">
        <f aca="false">2500+500*SUM(AJ10:AJ16)</f>
        <v>7500</v>
      </c>
      <c r="AK53" s="89" t="n">
        <f aca="false">2500+500*SUM(AK10:AK16)</f>
        <v>7500</v>
      </c>
      <c r="AL53" s="89" t="n">
        <f aca="false">2500+500*SUM(AL10:AL16)</f>
        <v>7500</v>
      </c>
      <c r="AM53" s="89" t="n">
        <f aca="false">2500+500*SUM(AM10:AM16)</f>
        <v>7500</v>
      </c>
      <c r="AN53" s="89" t="n">
        <f aca="false">2500+500*SUM(AN10:AN16)</f>
        <v>7500</v>
      </c>
      <c r="AO53" s="89" t="n">
        <f aca="false">2500+500*SUM(AO10:AO16)</f>
        <v>7500</v>
      </c>
      <c r="AP53" s="89" t="n">
        <f aca="false">2500+500*SUM(AP10:AP16)</f>
        <v>7500</v>
      </c>
    </row>
    <row r="54" s="72" customFormat="true" ht="13.5" hidden="false" customHeight="false" outlineLevel="0" collapsed="false">
      <c r="C54" s="92" t="n">
        <v>4000</v>
      </c>
      <c r="D54" s="88" t="s">
        <v>205</v>
      </c>
      <c r="E54" s="79"/>
      <c r="F54" s="79" t="s">
        <v>209</v>
      </c>
      <c r="G54" s="89" t="n">
        <f aca="false">$C54</f>
        <v>4000</v>
      </c>
      <c r="H54" s="89" t="n">
        <f aca="false">$C54</f>
        <v>4000</v>
      </c>
      <c r="I54" s="89" t="n">
        <f aca="false">$C54</f>
        <v>4000</v>
      </c>
      <c r="J54" s="89" t="n">
        <f aca="false">$C54</f>
        <v>4000</v>
      </c>
      <c r="K54" s="89" t="n">
        <f aca="false">$C54</f>
        <v>4000</v>
      </c>
      <c r="L54" s="89" t="n">
        <f aca="false">$C54</f>
        <v>4000</v>
      </c>
      <c r="M54" s="89" t="n">
        <f aca="false">$C54</f>
        <v>4000</v>
      </c>
      <c r="N54" s="89" t="n">
        <f aca="false">$C54</f>
        <v>4000</v>
      </c>
      <c r="O54" s="89" t="n">
        <f aca="false">$C54</f>
        <v>4000</v>
      </c>
      <c r="P54" s="89" t="n">
        <f aca="false">$C54</f>
        <v>4000</v>
      </c>
      <c r="Q54" s="89" t="n">
        <f aca="false">$C54</f>
        <v>4000</v>
      </c>
      <c r="R54" s="89" t="n">
        <f aca="false">$C54</f>
        <v>4000</v>
      </c>
      <c r="S54" s="89" t="n">
        <f aca="false">$C54</f>
        <v>4000</v>
      </c>
      <c r="T54" s="89" t="n">
        <f aca="false">$C54</f>
        <v>4000</v>
      </c>
      <c r="U54" s="89" t="n">
        <f aca="false">$C54</f>
        <v>4000</v>
      </c>
      <c r="V54" s="89" t="n">
        <f aca="false">$C54</f>
        <v>4000</v>
      </c>
      <c r="W54" s="89" t="n">
        <f aca="false">$C54</f>
        <v>4000</v>
      </c>
      <c r="X54" s="89" t="n">
        <f aca="false">$C54</f>
        <v>4000</v>
      </c>
      <c r="Y54" s="89" t="n">
        <f aca="false">$C54</f>
        <v>4000</v>
      </c>
      <c r="Z54" s="89" t="n">
        <f aca="false">$C54</f>
        <v>4000</v>
      </c>
      <c r="AA54" s="89" t="n">
        <f aca="false">$C54</f>
        <v>4000</v>
      </c>
      <c r="AB54" s="89" t="n">
        <f aca="false">$C54</f>
        <v>4000</v>
      </c>
      <c r="AC54" s="89" t="n">
        <f aca="false">$C54</f>
        <v>4000</v>
      </c>
      <c r="AD54" s="89" t="n">
        <f aca="false">$C54</f>
        <v>4000</v>
      </c>
      <c r="AE54" s="89" t="n">
        <f aca="false">$C54</f>
        <v>4000</v>
      </c>
      <c r="AF54" s="89" t="n">
        <f aca="false">$C54</f>
        <v>4000</v>
      </c>
      <c r="AG54" s="89" t="n">
        <f aca="false">$C54</f>
        <v>4000</v>
      </c>
      <c r="AH54" s="89" t="n">
        <f aca="false">$C54</f>
        <v>4000</v>
      </c>
      <c r="AI54" s="89" t="n">
        <f aca="false">$C54</f>
        <v>4000</v>
      </c>
      <c r="AJ54" s="89" t="n">
        <f aca="false">$C54</f>
        <v>4000</v>
      </c>
      <c r="AK54" s="89" t="n">
        <f aca="false">$C54</f>
        <v>4000</v>
      </c>
      <c r="AL54" s="89" t="n">
        <f aca="false">$C54</f>
        <v>4000</v>
      </c>
      <c r="AM54" s="89" t="n">
        <f aca="false">$C54</f>
        <v>4000</v>
      </c>
      <c r="AN54" s="89" t="n">
        <f aca="false">$C54</f>
        <v>4000</v>
      </c>
      <c r="AO54" s="89" t="n">
        <f aca="false">$C54</f>
        <v>4000</v>
      </c>
      <c r="AP54" s="89" t="n">
        <f aca="false">$C54</f>
        <v>4000</v>
      </c>
    </row>
    <row r="55" s="72" customFormat="true" ht="13.5" hidden="false" customHeight="false" outlineLevel="0" collapsed="false">
      <c r="C55" s="92" t="n">
        <v>4000</v>
      </c>
      <c r="D55" s="88" t="s">
        <v>205</v>
      </c>
      <c r="E55" s="79"/>
      <c r="F55" s="79" t="s">
        <v>210</v>
      </c>
      <c r="G55" s="89" t="n">
        <f aca="false">$C55</f>
        <v>4000</v>
      </c>
      <c r="H55" s="89" t="n">
        <f aca="false">$C55</f>
        <v>4000</v>
      </c>
      <c r="I55" s="89" t="n">
        <f aca="false">$C55</f>
        <v>4000</v>
      </c>
      <c r="J55" s="89" t="n">
        <f aca="false">$C55</f>
        <v>4000</v>
      </c>
      <c r="K55" s="89" t="n">
        <f aca="false">$C55</f>
        <v>4000</v>
      </c>
      <c r="L55" s="89" t="n">
        <f aca="false">$C55</f>
        <v>4000</v>
      </c>
      <c r="M55" s="89" t="n">
        <f aca="false">$C55</f>
        <v>4000</v>
      </c>
      <c r="N55" s="89" t="n">
        <f aca="false">$C55</f>
        <v>4000</v>
      </c>
      <c r="O55" s="89" t="n">
        <f aca="false">$C55</f>
        <v>4000</v>
      </c>
      <c r="P55" s="89" t="n">
        <f aca="false">$C55</f>
        <v>4000</v>
      </c>
      <c r="Q55" s="89" t="n">
        <f aca="false">$C55</f>
        <v>4000</v>
      </c>
      <c r="R55" s="89" t="n">
        <f aca="false">$C55</f>
        <v>4000</v>
      </c>
      <c r="S55" s="89" t="n">
        <f aca="false">$C55</f>
        <v>4000</v>
      </c>
      <c r="T55" s="89" t="n">
        <f aca="false">$C55</f>
        <v>4000</v>
      </c>
      <c r="U55" s="89" t="n">
        <f aca="false">$C55</f>
        <v>4000</v>
      </c>
      <c r="V55" s="89" t="n">
        <f aca="false">$C55</f>
        <v>4000</v>
      </c>
      <c r="W55" s="89" t="n">
        <f aca="false">$C55</f>
        <v>4000</v>
      </c>
      <c r="X55" s="89" t="n">
        <f aca="false">$C55</f>
        <v>4000</v>
      </c>
      <c r="Y55" s="89" t="n">
        <f aca="false">$C55</f>
        <v>4000</v>
      </c>
      <c r="Z55" s="89" t="n">
        <f aca="false">$C55</f>
        <v>4000</v>
      </c>
      <c r="AA55" s="89" t="n">
        <f aca="false">$C55</f>
        <v>4000</v>
      </c>
      <c r="AB55" s="89" t="n">
        <f aca="false">$C55</f>
        <v>4000</v>
      </c>
      <c r="AC55" s="89" t="n">
        <f aca="false">$C55</f>
        <v>4000</v>
      </c>
      <c r="AD55" s="89" t="n">
        <f aca="false">$C55</f>
        <v>4000</v>
      </c>
      <c r="AE55" s="89" t="n">
        <f aca="false">$C55</f>
        <v>4000</v>
      </c>
      <c r="AF55" s="89" t="n">
        <f aca="false">$C55</f>
        <v>4000</v>
      </c>
      <c r="AG55" s="89" t="n">
        <f aca="false">$C55</f>
        <v>4000</v>
      </c>
      <c r="AH55" s="89" t="n">
        <f aca="false">$C55</f>
        <v>4000</v>
      </c>
      <c r="AI55" s="89" t="n">
        <f aca="false">$C55</f>
        <v>4000</v>
      </c>
      <c r="AJ55" s="89" t="n">
        <f aca="false">$C55</f>
        <v>4000</v>
      </c>
      <c r="AK55" s="89" t="n">
        <f aca="false">$C55</f>
        <v>4000</v>
      </c>
      <c r="AL55" s="89" t="n">
        <f aca="false">$C55</f>
        <v>4000</v>
      </c>
      <c r="AM55" s="89" t="n">
        <f aca="false">$C55</f>
        <v>4000</v>
      </c>
      <c r="AN55" s="89" t="n">
        <f aca="false">$C55</f>
        <v>4000</v>
      </c>
      <c r="AO55" s="89" t="n">
        <f aca="false">$C55</f>
        <v>4000</v>
      </c>
      <c r="AP55" s="89" t="n">
        <f aca="false">$C55</f>
        <v>4000</v>
      </c>
    </row>
    <row r="56" s="72" customFormat="true" ht="13.5" hidden="false" customHeight="false" outlineLevel="0" collapsed="false">
      <c r="C56" s="92" t="n">
        <v>4000</v>
      </c>
      <c r="D56" s="88" t="s">
        <v>205</v>
      </c>
      <c r="E56" s="79"/>
      <c r="F56" s="79" t="s">
        <v>211</v>
      </c>
      <c r="G56" s="89" t="n">
        <f aca="false">$C56</f>
        <v>4000</v>
      </c>
      <c r="H56" s="89" t="n">
        <f aca="false">$C56</f>
        <v>4000</v>
      </c>
      <c r="I56" s="89" t="n">
        <f aca="false">$C56</f>
        <v>4000</v>
      </c>
      <c r="J56" s="89" t="n">
        <f aca="false">$C56</f>
        <v>4000</v>
      </c>
      <c r="K56" s="89" t="n">
        <f aca="false">$C56</f>
        <v>4000</v>
      </c>
      <c r="L56" s="89" t="n">
        <f aca="false">$C56</f>
        <v>4000</v>
      </c>
      <c r="M56" s="89" t="n">
        <f aca="false">$C56</f>
        <v>4000</v>
      </c>
      <c r="N56" s="89" t="n">
        <f aca="false">$C56</f>
        <v>4000</v>
      </c>
      <c r="O56" s="89" t="n">
        <f aca="false">$C56</f>
        <v>4000</v>
      </c>
      <c r="P56" s="89" t="n">
        <f aca="false">$C56</f>
        <v>4000</v>
      </c>
      <c r="Q56" s="89" t="n">
        <f aca="false">$C56</f>
        <v>4000</v>
      </c>
      <c r="R56" s="89" t="n">
        <f aca="false">$C56</f>
        <v>4000</v>
      </c>
      <c r="S56" s="89" t="n">
        <f aca="false">$C56</f>
        <v>4000</v>
      </c>
      <c r="T56" s="89" t="n">
        <f aca="false">$C56</f>
        <v>4000</v>
      </c>
      <c r="U56" s="89" t="n">
        <f aca="false">$C56</f>
        <v>4000</v>
      </c>
      <c r="V56" s="89" t="n">
        <f aca="false">$C56</f>
        <v>4000</v>
      </c>
      <c r="W56" s="89" t="n">
        <f aca="false">$C56</f>
        <v>4000</v>
      </c>
      <c r="X56" s="89" t="n">
        <f aca="false">$C56</f>
        <v>4000</v>
      </c>
      <c r="Y56" s="89" t="n">
        <f aca="false">$C56</f>
        <v>4000</v>
      </c>
      <c r="Z56" s="89" t="n">
        <f aca="false">$C56</f>
        <v>4000</v>
      </c>
      <c r="AA56" s="89" t="n">
        <f aca="false">$C56</f>
        <v>4000</v>
      </c>
      <c r="AB56" s="89" t="n">
        <f aca="false">$C56</f>
        <v>4000</v>
      </c>
      <c r="AC56" s="89" t="n">
        <f aca="false">$C56</f>
        <v>4000</v>
      </c>
      <c r="AD56" s="89" t="n">
        <f aca="false">$C56</f>
        <v>4000</v>
      </c>
      <c r="AE56" s="89" t="n">
        <f aca="false">$C56</f>
        <v>4000</v>
      </c>
      <c r="AF56" s="89" t="n">
        <f aca="false">$C56</f>
        <v>4000</v>
      </c>
      <c r="AG56" s="89" t="n">
        <f aca="false">$C56</f>
        <v>4000</v>
      </c>
      <c r="AH56" s="89" t="n">
        <f aca="false">$C56</f>
        <v>4000</v>
      </c>
      <c r="AI56" s="89" t="n">
        <f aca="false">$C56</f>
        <v>4000</v>
      </c>
      <c r="AJ56" s="89" t="n">
        <f aca="false">$C56</f>
        <v>4000</v>
      </c>
      <c r="AK56" s="89" t="n">
        <f aca="false">$C56</f>
        <v>4000</v>
      </c>
      <c r="AL56" s="89" t="n">
        <f aca="false">$C56</f>
        <v>4000</v>
      </c>
      <c r="AM56" s="89" t="n">
        <f aca="false">$C56</f>
        <v>4000</v>
      </c>
      <c r="AN56" s="89" t="n">
        <f aca="false">$C56</f>
        <v>4000</v>
      </c>
      <c r="AO56" s="89" t="n">
        <f aca="false">$C56</f>
        <v>4000</v>
      </c>
      <c r="AP56" s="89" t="n">
        <f aca="false">$C56</f>
        <v>4000</v>
      </c>
    </row>
    <row r="57" s="72" customFormat="true" ht="13.5" hidden="false" customHeight="false" outlineLevel="0" collapsed="false">
      <c r="C57" s="96" t="n">
        <v>0.02</v>
      </c>
      <c r="D57" s="88" t="s">
        <v>212</v>
      </c>
      <c r="E57" s="79"/>
      <c r="F57" s="79" t="s">
        <v>213</v>
      </c>
      <c r="G57" s="89" t="n">
        <f aca="false">$C$57*G37</f>
        <v>266.666666666667</v>
      </c>
      <c r="H57" s="89" t="n">
        <f aca="false">$C$57*H37</f>
        <v>266.666666666667</v>
      </c>
      <c r="I57" s="89" t="n">
        <f aca="false">$C$57*I37</f>
        <v>266.666666666667</v>
      </c>
      <c r="J57" s="89" t="n">
        <f aca="false">$C$57*J37</f>
        <v>266.666666666667</v>
      </c>
      <c r="K57" s="89" t="n">
        <f aca="false">$C$57*K37</f>
        <v>266.666666666667</v>
      </c>
      <c r="L57" s="89" t="n">
        <f aca="false">$C$57*L37</f>
        <v>491.666666666667</v>
      </c>
      <c r="M57" s="89" t="n">
        <f aca="false">$C$57*M37</f>
        <v>491.666666666667</v>
      </c>
      <c r="N57" s="89" t="n">
        <f aca="false">$C$57*N37</f>
        <v>491.666666666667</v>
      </c>
      <c r="O57" s="89" t="n">
        <f aca="false">$C$57*O37</f>
        <v>491.666666666667</v>
      </c>
      <c r="P57" s="89" t="n">
        <f aca="false">$C$57*P37</f>
        <v>758.333333333333</v>
      </c>
      <c r="Q57" s="89" t="n">
        <f aca="false">$C$57*Q37</f>
        <v>1037.3582832</v>
      </c>
      <c r="R57" s="89" t="n">
        <f aca="false">$C$57*R37</f>
        <v>1070.0972188</v>
      </c>
      <c r="S57" s="89" t="n">
        <f aca="false">$C$57*S37</f>
        <v>1058.38692664</v>
      </c>
      <c r="T57" s="89" t="n">
        <f aca="false">$C$57*T37</f>
        <v>1029.39484758</v>
      </c>
      <c r="U57" s="89" t="n">
        <f aca="false">$C$57*U37</f>
        <v>1258.78969516</v>
      </c>
      <c r="V57" s="89" t="n">
        <f aca="false">$C$57*V37</f>
        <v>1250</v>
      </c>
      <c r="W57" s="89" t="n">
        <f aca="false">$C$57*W37</f>
        <v>1475</v>
      </c>
      <c r="X57" s="89" t="n">
        <f aca="false">$C$57*X37</f>
        <v>1475</v>
      </c>
      <c r="Y57" s="89" t="n">
        <f aca="false">$C$57*Y37</f>
        <v>1475</v>
      </c>
      <c r="Z57" s="89" t="n">
        <f aca="false">$C$57*Z37</f>
        <v>1741.66666666667</v>
      </c>
      <c r="AA57" s="89" t="n">
        <f aca="false">$C$57*AA37</f>
        <v>1741.66666666667</v>
      </c>
      <c r="AB57" s="89" t="n">
        <f aca="false">$C$57*AB37</f>
        <v>1754.85120940667</v>
      </c>
      <c r="AC57" s="89" t="n">
        <f aca="false">$C$57*AC37</f>
        <v>1821.00598802667</v>
      </c>
      <c r="AD57" s="89" t="n">
        <f aca="false">$C$57*AD37</f>
        <v>2171.11593812493</v>
      </c>
      <c r="AE57" s="89" t="n">
        <f aca="false">$C$57*AE37</f>
        <v>2144.2320654852</v>
      </c>
      <c r="AF57" s="89" t="n">
        <f aca="false">$C$57*AF37</f>
        <v>2056.62619516073</v>
      </c>
      <c r="AG57" s="89" t="n">
        <f aca="false">$C$57*AG37</f>
        <v>2323.2928618274</v>
      </c>
      <c r="AH57" s="89" t="n">
        <f aca="false">$C$57*AH37</f>
        <v>2275</v>
      </c>
      <c r="AI57" s="89" t="n">
        <f aca="false">$C$57*AI37</f>
        <v>2275</v>
      </c>
      <c r="AJ57" s="89" t="n">
        <f aca="false">$C$57*AJ37</f>
        <v>2541.66666666667</v>
      </c>
      <c r="AK57" s="89" t="n">
        <f aca="false">$C$57*AK37</f>
        <v>2541.66666666667</v>
      </c>
      <c r="AL57" s="89" t="n">
        <f aca="false">$C$57*AL37</f>
        <v>2541.66666666667</v>
      </c>
      <c r="AM57" s="89" t="n">
        <f aca="false">$C$57*AM37</f>
        <v>2541.66666666667</v>
      </c>
      <c r="AN57" s="89" t="n">
        <f aca="false">$C$57*AN37</f>
        <v>2593.95208076711</v>
      </c>
      <c r="AO57" s="89" t="n">
        <f aca="false">$C$57*AO37</f>
        <v>2677.56539881853</v>
      </c>
      <c r="AP57" s="89" t="n">
        <f aca="false">$C$57*AP37</f>
        <v>2776.2161787709</v>
      </c>
    </row>
    <row r="58" s="72" customFormat="true" ht="13.5" hidden="false" customHeight="false" outlineLevel="0" collapsed="false">
      <c r="C58" s="92" t="n">
        <v>5000</v>
      </c>
      <c r="D58" s="88" t="s">
        <v>214</v>
      </c>
      <c r="E58" s="79"/>
      <c r="F58" s="79" t="s">
        <v>215</v>
      </c>
      <c r="G58" s="89" t="n">
        <f aca="false">$C$58/12</f>
        <v>416.666666666667</v>
      </c>
      <c r="H58" s="89" t="n">
        <f aca="false">$C$58/12</f>
        <v>416.666666666667</v>
      </c>
      <c r="I58" s="89" t="n">
        <f aca="false">$C$58/12</f>
        <v>416.666666666667</v>
      </c>
      <c r="J58" s="89" t="n">
        <f aca="false">$C$58/12</f>
        <v>416.666666666667</v>
      </c>
      <c r="K58" s="89" t="n">
        <f aca="false">$C$58/12</f>
        <v>416.666666666667</v>
      </c>
      <c r="L58" s="89" t="n">
        <f aca="false">$C$58/12</f>
        <v>416.666666666667</v>
      </c>
      <c r="M58" s="89" t="n">
        <f aca="false">$C$58/12</f>
        <v>416.666666666667</v>
      </c>
      <c r="N58" s="89" t="n">
        <f aca="false">$C$58/12</f>
        <v>416.666666666667</v>
      </c>
      <c r="O58" s="89" t="n">
        <f aca="false">$C$58/12</f>
        <v>416.666666666667</v>
      </c>
      <c r="P58" s="89" t="n">
        <f aca="false">$C$58/12</f>
        <v>416.666666666667</v>
      </c>
      <c r="Q58" s="89" t="n">
        <f aca="false">$C$58/12</f>
        <v>416.666666666667</v>
      </c>
      <c r="R58" s="89" t="n">
        <f aca="false">$C$58/12</f>
        <v>416.666666666667</v>
      </c>
      <c r="S58" s="89" t="n">
        <f aca="false">$C$58/12</f>
        <v>416.666666666667</v>
      </c>
      <c r="T58" s="89" t="n">
        <f aca="false">$C$58/12</f>
        <v>416.666666666667</v>
      </c>
      <c r="U58" s="89" t="n">
        <f aca="false">$C$58/12</f>
        <v>416.666666666667</v>
      </c>
      <c r="V58" s="89" t="n">
        <f aca="false">$C$58/12</f>
        <v>416.666666666667</v>
      </c>
      <c r="W58" s="89" t="n">
        <f aca="false">$C$58/12</f>
        <v>416.666666666667</v>
      </c>
      <c r="X58" s="89" t="n">
        <f aca="false">$C$58/12</f>
        <v>416.666666666667</v>
      </c>
      <c r="Y58" s="89" t="n">
        <f aca="false">$C$58/12</f>
        <v>416.666666666667</v>
      </c>
      <c r="Z58" s="89" t="n">
        <f aca="false">$C$58/12</f>
        <v>416.666666666667</v>
      </c>
      <c r="AA58" s="89" t="n">
        <f aca="false">$C$58/12</f>
        <v>416.666666666667</v>
      </c>
      <c r="AB58" s="89" t="n">
        <f aca="false">$C$58/12</f>
        <v>416.666666666667</v>
      </c>
      <c r="AC58" s="89" t="n">
        <f aca="false">$C$58/12</f>
        <v>416.666666666667</v>
      </c>
      <c r="AD58" s="89" t="n">
        <f aca="false">$C$58/12</f>
        <v>416.666666666667</v>
      </c>
      <c r="AE58" s="89" t="n">
        <f aca="false">$C$58/12</f>
        <v>416.666666666667</v>
      </c>
      <c r="AF58" s="89" t="n">
        <f aca="false">$C$58/12</f>
        <v>416.666666666667</v>
      </c>
      <c r="AG58" s="89" t="n">
        <f aca="false">$C$58/12</f>
        <v>416.666666666667</v>
      </c>
      <c r="AH58" s="89" t="n">
        <f aca="false">$C$58/12</f>
        <v>416.666666666667</v>
      </c>
      <c r="AI58" s="89" t="n">
        <f aca="false">$C$58/12</f>
        <v>416.666666666667</v>
      </c>
      <c r="AJ58" s="89" t="n">
        <f aca="false">$C$58/12</f>
        <v>416.666666666667</v>
      </c>
      <c r="AK58" s="89" t="n">
        <f aca="false">$C$58/12</f>
        <v>416.666666666667</v>
      </c>
      <c r="AL58" s="89" t="n">
        <f aca="false">$C$58/12</f>
        <v>416.666666666667</v>
      </c>
      <c r="AM58" s="89" t="n">
        <f aca="false">$C$58/12</f>
        <v>416.666666666667</v>
      </c>
      <c r="AN58" s="89" t="n">
        <f aca="false">$C$58/12</f>
        <v>416.666666666667</v>
      </c>
      <c r="AO58" s="89" t="n">
        <f aca="false">$C$58/12</f>
        <v>416.666666666667</v>
      </c>
      <c r="AP58" s="89" t="n">
        <f aca="false">$C$58/12</f>
        <v>416.666666666667</v>
      </c>
    </row>
    <row r="59" s="72" customFormat="true" ht="13.5" hidden="false" customHeight="false" outlineLevel="0" collapsed="false">
      <c r="B59" s="87"/>
      <c r="C59" s="87"/>
      <c r="D59" s="88"/>
      <c r="E59" s="79"/>
      <c r="F59" s="7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</row>
    <row r="60" s="72" customFormat="true" ht="13.5" hidden="false" customHeight="false" outlineLevel="0" collapsed="false">
      <c r="B60" s="87"/>
      <c r="C60" s="87"/>
      <c r="D60" s="88"/>
      <c r="E60" s="79"/>
      <c r="F60" s="80" t="s">
        <v>48</v>
      </c>
      <c r="G60" s="89" t="n">
        <f aca="false">SUM(G52:G58)</f>
        <v>21683.3333333333</v>
      </c>
      <c r="H60" s="89" t="n">
        <f aca="false">SUM(H52:H58)</f>
        <v>21683.3333333333</v>
      </c>
      <c r="I60" s="89" t="n">
        <f aca="false">SUM(I52:I58)</f>
        <v>21683.3333333333</v>
      </c>
      <c r="J60" s="89" t="n">
        <f aca="false">SUM(J52:J58)</f>
        <v>21683.3333333333</v>
      </c>
      <c r="K60" s="89" t="n">
        <f aca="false">SUM(K52:K58)</f>
        <v>21683.3333333333</v>
      </c>
      <c r="L60" s="89" t="n">
        <f aca="false">SUM(L52:L58)</f>
        <v>23408.3333333333</v>
      </c>
      <c r="M60" s="89" t="n">
        <f aca="false">SUM(M52:M58)</f>
        <v>23408.3333333333</v>
      </c>
      <c r="N60" s="89" t="n">
        <f aca="false">SUM(N52:N58)</f>
        <v>23408.3333333333</v>
      </c>
      <c r="O60" s="89" t="n">
        <f aca="false">SUM(O52:O58)</f>
        <v>23408.3333333333</v>
      </c>
      <c r="P60" s="89" t="n">
        <f aca="false">SUM(P52:P58)</f>
        <v>25175</v>
      </c>
      <c r="Q60" s="89" t="n">
        <f aca="false">SUM(Q52:Q58)</f>
        <v>26954.0249498667</v>
      </c>
      <c r="R60" s="89" t="n">
        <f aca="false">SUM(R52:R58)</f>
        <v>26986.7638854667</v>
      </c>
      <c r="S60" s="89" t="n">
        <f aca="false">SUM(S52:S58)</f>
        <v>26975.0535933067</v>
      </c>
      <c r="T60" s="89" t="n">
        <f aca="false">SUM(T52:T58)</f>
        <v>26946.0615142467</v>
      </c>
      <c r="U60" s="89" t="n">
        <f aca="false">SUM(U52:U58)</f>
        <v>28675.4563618267</v>
      </c>
      <c r="V60" s="89" t="n">
        <f aca="false">SUM(V52:V58)</f>
        <v>28666.6666666667</v>
      </c>
      <c r="W60" s="89" t="n">
        <f aca="false">SUM(W52:W58)</f>
        <v>30391.6666666667</v>
      </c>
      <c r="X60" s="89" t="n">
        <f aca="false">SUM(X52:X58)</f>
        <v>30391.6666666667</v>
      </c>
      <c r="Y60" s="89" t="n">
        <f aca="false">SUM(Y52:Y58)</f>
        <v>30391.6666666667</v>
      </c>
      <c r="Z60" s="89" t="n">
        <f aca="false">SUM(Z52:Z58)</f>
        <v>32158.3333333333</v>
      </c>
      <c r="AA60" s="89" t="n">
        <f aca="false">SUM(AA52:AA58)</f>
        <v>32158.3333333333</v>
      </c>
      <c r="AB60" s="89" t="n">
        <f aca="false">SUM(AB52:AB58)</f>
        <v>32171.5178760733</v>
      </c>
      <c r="AC60" s="89" t="n">
        <f aca="false">SUM(AC52:AC58)</f>
        <v>32237.6726546933</v>
      </c>
      <c r="AD60" s="89" t="n">
        <f aca="false">SUM(AD52:AD58)</f>
        <v>34087.7826047916</v>
      </c>
      <c r="AE60" s="89" t="n">
        <f aca="false">SUM(AE52:AE58)</f>
        <v>34060.8987321519</v>
      </c>
      <c r="AF60" s="89" t="n">
        <f aca="false">SUM(AF52:AF58)</f>
        <v>33973.2928618274</v>
      </c>
      <c r="AG60" s="89" t="n">
        <f aca="false">SUM(AG52:AG58)</f>
        <v>35739.9595284941</v>
      </c>
      <c r="AH60" s="89" t="n">
        <f aca="false">SUM(AH52:AH58)</f>
        <v>35691.6666666667</v>
      </c>
      <c r="AI60" s="89" t="n">
        <f aca="false">SUM(AI52:AI58)</f>
        <v>35691.6666666667</v>
      </c>
      <c r="AJ60" s="89" t="n">
        <f aca="false">SUM(AJ52:AJ58)</f>
        <v>37458.3333333333</v>
      </c>
      <c r="AK60" s="89" t="n">
        <f aca="false">SUM(AK52:AK58)</f>
        <v>37458.3333333333</v>
      </c>
      <c r="AL60" s="89" t="n">
        <f aca="false">SUM(AL52:AL58)</f>
        <v>37458.3333333333</v>
      </c>
      <c r="AM60" s="89" t="n">
        <f aca="false">SUM(AM52:AM58)</f>
        <v>37458.3333333333</v>
      </c>
      <c r="AN60" s="89" t="n">
        <f aca="false">SUM(AN52:AN58)</f>
        <v>37510.6187474338</v>
      </c>
      <c r="AO60" s="89" t="n">
        <f aca="false">SUM(AO52:AO58)</f>
        <v>37594.2320654852</v>
      </c>
      <c r="AP60" s="89" t="n">
        <f aca="false">SUM(AP52:AP58)</f>
        <v>37692.8828454376</v>
      </c>
    </row>
    <row r="61" s="72" customFormat="true" ht="13.5" hidden="false" customHeight="false" outlineLevel="0" collapsed="false">
      <c r="B61" s="97"/>
      <c r="C61" s="97"/>
      <c r="D61" s="88"/>
      <c r="E61" s="79"/>
      <c r="F61" s="80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</row>
    <row r="62" s="72" customFormat="true" ht="13.5" hidden="false" customHeight="false" outlineLevel="0" collapsed="false">
      <c r="B62" s="96"/>
      <c r="C62" s="96"/>
      <c r="D62" s="88"/>
      <c r="E62" s="79"/>
      <c r="F62" s="80" t="s">
        <v>49</v>
      </c>
      <c r="G62" s="89" t="n">
        <f aca="false">G37-SUM(G49,G60)</f>
        <v>-11850</v>
      </c>
      <c r="H62" s="89" t="n">
        <f aca="false">H37-SUM(H49,H60)</f>
        <v>-11850</v>
      </c>
      <c r="I62" s="89" t="n">
        <f aca="false">I37-SUM(I49,I60)</f>
        <v>-11850</v>
      </c>
      <c r="J62" s="89" t="n">
        <f aca="false">J37-SUM(J49,J60)</f>
        <v>-11850</v>
      </c>
      <c r="K62" s="89" t="n">
        <f aca="false">K37-SUM(K49,K60)</f>
        <v>-11850</v>
      </c>
      <c r="L62" s="89" t="n">
        <f aca="false">L37-SUM(L49,L60)</f>
        <v>-5325</v>
      </c>
      <c r="M62" s="89" t="n">
        <f aca="false">M37-SUM(M49,M60)</f>
        <v>-3325</v>
      </c>
      <c r="N62" s="89" t="n">
        <f aca="false">N37-SUM(N49,N60)</f>
        <v>-3325</v>
      </c>
      <c r="O62" s="89" t="n">
        <f aca="false">O37-SUM(O49,O60)</f>
        <v>-3325</v>
      </c>
      <c r="P62" s="89" t="n">
        <f aca="false">P37-SUM(P49,P60)</f>
        <v>5241.66666666666</v>
      </c>
      <c r="Q62" s="89" t="n">
        <f aca="false">Q37-SUM(Q49,Q60)</f>
        <v>16413.8892101333</v>
      </c>
      <c r="R62" s="89" t="n">
        <f aca="false">R37-SUM(R49,R60)</f>
        <v>20018.0970545333</v>
      </c>
      <c r="S62" s="89" t="n">
        <f aca="false">S37-SUM(S49,S60)</f>
        <v>19444.2927386933</v>
      </c>
      <c r="T62" s="89" t="n">
        <f aca="false">T37-SUM(T49,T60)</f>
        <v>18023.6808647533</v>
      </c>
      <c r="U62" s="89" t="n">
        <f aca="false">U37-SUM(U49,U60)</f>
        <v>24764.0283961733</v>
      </c>
      <c r="V62" s="89" t="n">
        <f aca="false">V37-SUM(V49,V60)</f>
        <v>26333.3333333333</v>
      </c>
      <c r="W62" s="89" t="n">
        <f aca="false">W37-SUM(W49,W60)</f>
        <v>32858.3333333333</v>
      </c>
      <c r="X62" s="89" t="n">
        <f aca="false">X37-SUM(X49,X60)</f>
        <v>34858.3333333333</v>
      </c>
      <c r="Y62" s="89" t="n">
        <f aca="false">Y37-SUM(Y49,Y60)</f>
        <v>34858.3333333333</v>
      </c>
      <c r="Z62" s="89" t="n">
        <f aca="false">Z37-SUM(Z49,Z60)</f>
        <v>43425</v>
      </c>
      <c r="AA62" s="89" t="n">
        <f aca="false">AA37-SUM(AA49,AA60)</f>
        <v>45425</v>
      </c>
      <c r="AB62" s="89" t="n">
        <f aca="false">AB37-SUM(AB49,AB60)</f>
        <v>46071.04259426</v>
      </c>
      <c r="AC62" s="89" t="n">
        <f aca="false">AC37-SUM(AC49,AC60)</f>
        <v>49312.62674664</v>
      </c>
      <c r="AD62" s="89" t="n">
        <f aca="false">AD37-SUM(AD49,AD60)</f>
        <v>61968.0143014551</v>
      </c>
      <c r="AE62" s="89" t="n">
        <f aca="false">AE37-SUM(AE49,AE60)</f>
        <v>62650.704542108</v>
      </c>
      <c r="AF62" s="89" t="n">
        <f aca="false">AF37-SUM(AF49,AF60)</f>
        <v>58358.0168962093</v>
      </c>
      <c r="AG62" s="89" t="n">
        <f aca="false">AG37-SUM(AG49,AG60)</f>
        <v>66924.6835628759</v>
      </c>
      <c r="AH62" s="89" t="n">
        <f aca="false">AH37-SUM(AH49,AH60)</f>
        <v>66558.3333333333</v>
      </c>
      <c r="AI62" s="89" t="n">
        <f aca="false">AI37-SUM(AI49,AI60)</f>
        <v>66558.3333333333</v>
      </c>
      <c r="AJ62" s="89" t="n">
        <f aca="false">AJ37-SUM(AJ49,AJ60)</f>
        <v>75125</v>
      </c>
      <c r="AK62" s="89" t="n">
        <f aca="false">AK37-SUM(AK49,AK60)</f>
        <v>77125</v>
      </c>
      <c r="AL62" s="89" t="n">
        <f aca="false">AL37-SUM(AL49,AL60)</f>
        <v>77125</v>
      </c>
      <c r="AM62" s="89" t="n">
        <f aca="false">AM37-SUM(AM49,AM60)</f>
        <v>77125</v>
      </c>
      <c r="AN62" s="89" t="n">
        <f aca="false">AN37-SUM(AN49,AN60)</f>
        <v>79686.9852909219</v>
      </c>
      <c r="AO62" s="89" t="n">
        <f aca="false">AO37-SUM(AO49,AO60)</f>
        <v>83784.0378754413</v>
      </c>
      <c r="AP62" s="89" t="n">
        <f aca="false">AP37-SUM(AP49,AP60)</f>
        <v>88617.9260931075</v>
      </c>
    </row>
    <row r="63" s="72" customFormat="true" ht="13.5" hidden="false" customHeight="false" outlineLevel="0" collapsed="false">
      <c r="B63" s="97"/>
      <c r="C63" s="97"/>
      <c r="D63" s="88"/>
      <c r="E63" s="79"/>
      <c r="F63" s="79"/>
    </row>
    <row r="64" s="72" customFormat="true" ht="13.5" hidden="false" customHeight="false" outlineLevel="0" collapsed="false">
      <c r="B64" s="97"/>
      <c r="C64" s="97"/>
      <c r="D64" s="88"/>
      <c r="E64" s="79"/>
      <c r="F64" s="79"/>
    </row>
    <row r="65" customFormat="false" ht="13.5" hidden="false" customHeight="false" outlineLevel="0" collapsed="false">
      <c r="A65" s="98"/>
      <c r="B65" s="85"/>
      <c r="C65" s="85"/>
      <c r="D65" s="86" t="s">
        <v>51</v>
      </c>
      <c r="E65" s="99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</row>
    <row r="66" customFormat="false" ht="13.5" hidden="false" customHeight="false" outlineLevel="0" collapsed="false">
      <c r="A66" s="98"/>
      <c r="B66" s="97"/>
      <c r="C66" s="97"/>
      <c r="D66" s="88"/>
      <c r="E66" s="101"/>
      <c r="F66" s="82"/>
    </row>
    <row r="67" customFormat="false" ht="13.5" hidden="false" customHeight="false" outlineLevel="0" collapsed="false">
      <c r="A67" s="98"/>
      <c r="B67" s="97"/>
      <c r="C67" s="97"/>
      <c r="D67" s="88"/>
      <c r="E67" s="101"/>
      <c r="F67" s="102" t="s">
        <v>52</v>
      </c>
      <c r="G67" s="89" t="n">
        <f aca="false">'Income and Revenue'!G7</f>
        <v>400000</v>
      </c>
      <c r="H67" s="89" t="n">
        <f aca="false">G72</f>
        <v>384816.666666667</v>
      </c>
      <c r="I67" s="89" t="n">
        <f aca="false">H72</f>
        <v>369633.333333333</v>
      </c>
      <c r="J67" s="89" t="n">
        <f aca="false">I72</f>
        <v>354450</v>
      </c>
      <c r="K67" s="89" t="n">
        <f aca="false">J72</f>
        <v>339266.666666667</v>
      </c>
      <c r="L67" s="89" t="n">
        <f aca="false">K72</f>
        <v>324083.333333333</v>
      </c>
      <c r="M67" s="89" t="n">
        <f aca="false">L72</f>
        <v>464175</v>
      </c>
      <c r="N67" s="89" t="n">
        <f aca="false">M72</f>
        <v>456266.666666667</v>
      </c>
      <c r="O67" s="89" t="n">
        <f aca="false">N72</f>
        <v>448358.333333334</v>
      </c>
      <c r="P67" s="89" t="n">
        <f aca="false">O72</f>
        <v>440450</v>
      </c>
      <c r="Q67" s="89" t="n">
        <f aca="false">P72</f>
        <v>837775</v>
      </c>
      <c r="R67" s="89" t="n">
        <f aca="false">Q72</f>
        <v>1242938.88921013</v>
      </c>
      <c r="S67" s="89" t="n">
        <f aca="false">R72</f>
        <v>1251706.98626467</v>
      </c>
      <c r="T67" s="89" t="n">
        <f aca="false">S72</f>
        <v>1259901.27900336</v>
      </c>
      <c r="U67" s="89" t="n">
        <f aca="false">T72</f>
        <v>1266674.95986811</v>
      </c>
      <c r="V67" s="89" t="n">
        <f aca="false">U72</f>
        <v>1428938.98826429</v>
      </c>
      <c r="W67" s="89" t="n">
        <f aca="false">V72</f>
        <v>1442772.32159762</v>
      </c>
      <c r="X67" s="89" t="n">
        <f aca="false">W72</f>
        <v>1611880.65493095</v>
      </c>
      <c r="Y67" s="89" t="n">
        <f aca="false">X72</f>
        <v>1632988.98826429</v>
      </c>
      <c r="Z67" s="89" t="n">
        <f aca="false">Y72</f>
        <v>1654097.32159762</v>
      </c>
      <c r="AA67" s="89" t="n">
        <f aca="false">Z72</f>
        <v>2080438.98826429</v>
      </c>
      <c r="AB67" s="89" t="n">
        <f aca="false">AA72</f>
        <v>2108780.65493095</v>
      </c>
      <c r="AC67" s="89" t="n">
        <f aca="false">AB72</f>
        <v>2137768.36419188</v>
      </c>
      <c r="AD67" s="89" t="n">
        <f aca="false">AC72</f>
        <v>2169997.65760519</v>
      </c>
      <c r="AE67" s="89" t="n">
        <f aca="false">AD72</f>
        <v>2611549.00523998</v>
      </c>
      <c r="AF67" s="89" t="n">
        <f aca="false">AE72</f>
        <v>2653783.04311542</v>
      </c>
      <c r="AG67" s="89" t="n">
        <f aca="false">AF72</f>
        <v>2691724.39334496</v>
      </c>
      <c r="AH67" s="89" t="n">
        <f aca="false">AG72</f>
        <v>3134899.07690784</v>
      </c>
      <c r="AI67" s="89" t="n">
        <f aca="false">AH72</f>
        <v>3177707.41024117</v>
      </c>
      <c r="AJ67" s="89" t="n">
        <f aca="false">AI72</f>
        <v>3220515.7435745</v>
      </c>
      <c r="AK67" s="89" t="n">
        <f aca="false">AJ72</f>
        <v>3668557.41024117</v>
      </c>
      <c r="AL67" s="89" t="n">
        <f aca="false">AK72</f>
        <v>3718599.07690784</v>
      </c>
      <c r="AM67" s="89" t="n">
        <f aca="false">AL72</f>
        <v>3768640.7435745</v>
      </c>
      <c r="AN67" s="89" t="n">
        <f aca="false">AM72</f>
        <v>3818682.41024117</v>
      </c>
      <c r="AO67" s="89" t="n">
        <f aca="false">AN72</f>
        <v>3871286.06219876</v>
      </c>
      <c r="AP67" s="89" t="n">
        <f aca="false">AO72</f>
        <v>3927986.76674086</v>
      </c>
    </row>
    <row r="68" customFormat="false" ht="13.5" hidden="false" customHeight="false" outlineLevel="0" collapsed="false">
      <c r="A68" s="98"/>
      <c r="B68" s="97"/>
      <c r="C68" s="97"/>
      <c r="D68" s="88"/>
      <c r="E68" s="101"/>
      <c r="F68" s="102"/>
      <c r="G68" s="89"/>
    </row>
    <row r="69" customFormat="false" ht="13.5" hidden="false" customHeight="false" outlineLevel="0" collapsed="false">
      <c r="A69" s="98"/>
      <c r="B69" s="97"/>
      <c r="C69" s="97"/>
      <c r="D69" s="88"/>
      <c r="E69" s="101"/>
      <c r="F69" s="102" t="s">
        <v>53</v>
      </c>
      <c r="G69" s="89" t="n">
        <f aca="false">SUM(G30:G36)-SUM(G41:G47,G52:G58)</f>
        <v>-15183.3333333333</v>
      </c>
      <c r="H69" s="89" t="n">
        <f aca="false">SUM(H30:H36)-SUM(H41:H47,H52:H58)</f>
        <v>-15183.3333333333</v>
      </c>
      <c r="I69" s="89" t="n">
        <f aca="false">SUM(I30:I36)-SUM(I41:I47,I52:I58)</f>
        <v>-15183.3333333333</v>
      </c>
      <c r="J69" s="89" t="n">
        <f aca="false">SUM(J30:J36)-SUM(J41:J47,J52:J58)</f>
        <v>-15183.3333333333</v>
      </c>
      <c r="K69" s="89" t="n">
        <f aca="false">SUM(K30:K36)-SUM(K41:K47,K52:K58)</f>
        <v>-15183.3333333333</v>
      </c>
      <c r="L69" s="89" t="n">
        <f aca="false">SUM(L30:L36)-SUM(L41:L47,L52:L58)</f>
        <v>-9908.33333333334</v>
      </c>
      <c r="M69" s="89" t="n">
        <f aca="false">SUM(M30:M36)-SUM(M41:M47,M52:M58)</f>
        <v>-7908.33333333334</v>
      </c>
      <c r="N69" s="89" t="n">
        <f aca="false">SUM(N30:N36)-SUM(N41:N47,N52:N58)</f>
        <v>-7908.33333333334</v>
      </c>
      <c r="O69" s="89" t="n">
        <f aca="false">SUM(O30:O36)-SUM(O41:O47,O52:O58)</f>
        <v>-7908.33333333334</v>
      </c>
      <c r="P69" s="89" t="n">
        <f aca="false">SUM(P30:P36)-SUM(P41:P47,P52:P58)</f>
        <v>-2675</v>
      </c>
      <c r="Q69" s="89" t="n">
        <f aca="false">SUM(Q30:Q36)-SUM(Q41:Q47,Q52:Q58)</f>
        <v>5163.88921013333</v>
      </c>
      <c r="R69" s="89" t="n">
        <f aca="false">SUM(R30:R36)-SUM(R41:R47,R52:R58)</f>
        <v>8768.09705453333</v>
      </c>
      <c r="S69" s="89" t="n">
        <f aca="false">SUM(S30:S36)-SUM(S41:S47,S52:S58)</f>
        <v>8194.29273869333</v>
      </c>
      <c r="T69" s="89" t="n">
        <f aca="false">SUM(T30:T36)-SUM(T41:T47,T52:T58)</f>
        <v>6773.68086475334</v>
      </c>
      <c r="U69" s="89" t="n">
        <f aca="false">SUM(U30:U36)-SUM(U41:U47,U52:U58)</f>
        <v>12264.0283961733</v>
      </c>
      <c r="V69" s="89" t="n">
        <f aca="false">SUM(V30:V36)-SUM(V41:V47,V52:V58)</f>
        <v>13833.3333333333</v>
      </c>
      <c r="W69" s="89" t="n">
        <f aca="false">SUM(W30:W36)-SUM(W41:W47,W52:W58)</f>
        <v>19108.3333333333</v>
      </c>
      <c r="X69" s="89" t="n">
        <f aca="false">SUM(X30:X36)-SUM(X41:X47,X52:X58)</f>
        <v>21108.3333333333</v>
      </c>
      <c r="Y69" s="89" t="n">
        <f aca="false">SUM(Y30:Y36)-SUM(Y41:Y47,Y52:Y58)</f>
        <v>21108.3333333333</v>
      </c>
      <c r="Z69" s="89" t="n">
        <f aca="false">SUM(Z30:Z36)-SUM(Z41:Z47,Z52:Z58)</f>
        <v>26341.6666666667</v>
      </c>
      <c r="AA69" s="89" t="n">
        <f aca="false">SUM(AA30:AA36)-SUM(AA41:AA47,AA52:AA58)</f>
        <v>28341.6666666667</v>
      </c>
      <c r="AB69" s="89" t="n">
        <f aca="false">SUM(AB30:AB36)-SUM(AB41:AB47,AB52:AB58)</f>
        <v>28987.7092609267</v>
      </c>
      <c r="AC69" s="89" t="n">
        <f aca="false">SUM(AC30:AC36)-SUM(AC41:AC47,AC52:AC58)</f>
        <v>32229.2934133067</v>
      </c>
      <c r="AD69" s="89" t="n">
        <f aca="false">SUM(AD30:AD36)-SUM(AD41:AD47,AD52:AD58)</f>
        <v>41551.3476347884</v>
      </c>
      <c r="AE69" s="89" t="n">
        <f aca="false">SUM(AE30:AE36)-SUM(AE41:AE47,AE52:AE58)</f>
        <v>42234.0378754413</v>
      </c>
      <c r="AF69" s="89" t="n">
        <f aca="false">SUM(AF30:AF36)-SUM(AF41:AF47,AF52:AF58)</f>
        <v>37941.3502295426</v>
      </c>
      <c r="AG69" s="89" t="n">
        <f aca="false">SUM(AG30:AG36)-SUM(AG41:AG47,AG52:AG58)</f>
        <v>43174.6835628759</v>
      </c>
      <c r="AH69" s="89" t="n">
        <f aca="false">SUM(AH30:AH36)-SUM(AH41:AH47,AH52:AH58)</f>
        <v>42808.3333333333</v>
      </c>
      <c r="AI69" s="89" t="n">
        <f aca="false">SUM(AI30:AI36)-SUM(AI41:AI47,AI52:AI58)</f>
        <v>42808.3333333333</v>
      </c>
      <c r="AJ69" s="89" t="n">
        <f aca="false">SUM(AJ30:AJ36)-SUM(AJ41:AJ47,AJ52:AJ58)</f>
        <v>48041.6666666667</v>
      </c>
      <c r="AK69" s="89" t="n">
        <f aca="false">SUM(AK30:AK36)-SUM(AK41:AK47,AK52:AK58)</f>
        <v>50041.6666666667</v>
      </c>
      <c r="AL69" s="89" t="n">
        <f aca="false">SUM(AL30:AL36)-SUM(AL41:AL47,AL52:AL58)</f>
        <v>50041.6666666667</v>
      </c>
      <c r="AM69" s="89" t="n">
        <f aca="false">SUM(AM30:AM36)-SUM(AM41:AM47,AM52:AM58)</f>
        <v>50041.6666666667</v>
      </c>
      <c r="AN69" s="89" t="n">
        <f aca="false">SUM(AN30:AN36)-SUM(AN41:AN47,AN52:AN58)</f>
        <v>52603.6519575886</v>
      </c>
      <c r="AO69" s="89" t="n">
        <f aca="false">SUM(AO30:AO36)-SUM(AO41:AO47,AO52:AO58)</f>
        <v>56700.704542108</v>
      </c>
      <c r="AP69" s="89" t="n">
        <f aca="false">SUM(AP30:AP36)-SUM(AP41:AP47,AP52:AP58)</f>
        <v>61534.5927597741</v>
      </c>
    </row>
    <row r="70" customFormat="false" ht="13.5" hidden="false" customHeight="false" outlineLevel="0" collapsed="false">
      <c r="A70" s="98"/>
      <c r="B70" s="97"/>
      <c r="C70" s="97"/>
      <c r="D70" s="88"/>
      <c r="E70" s="101"/>
      <c r="F70" s="102" t="s">
        <v>54</v>
      </c>
      <c r="G70" s="89" t="str">
        <f aca="false" t="array" ref="G70:G70">IFERROR(INDEX(Openings_Table[[Initial One-Time Fee]:[Initial One-Time Fee]],MATCH(1,(MONTH(G8)=MONTH(Openings_Table[[Opening Date]:[Opening Date]]))*(YEAR(G8)=YEAR(Openings_Table[[Opening Date]:[Opening Date]])),0)),"")</f>
        <v/>
      </c>
      <c r="H70" s="89" t="str">
        <f aca="false" t="array" ref="H70:H70">IFERROR(INDEX(Openings_Table[[Initial One-Time Fee]:[Initial One-Time Fee]],MATCH(1,(MONTH(H8)=MONTH(Openings_Table[[Opening Date]:[Opening Date]]))*(YEAR(H8)=YEAR(Openings_Table[[Opening Date]:[Opening Date]])),0)),"")</f>
        <v/>
      </c>
      <c r="I70" s="89" t="str">
        <f aca="false" t="array" ref="I70:I70">IFERROR(INDEX(Openings_Table[[Initial One-Time Fee]:[Initial One-Time Fee]],MATCH(1,(MONTH(I8)=MONTH(Openings_Table[[Opening Date]:[Opening Date]]))*(YEAR(I8)=YEAR(Openings_Table[[Opening Date]:[Opening Date]])),0)),"")</f>
        <v/>
      </c>
      <c r="J70" s="89" t="str">
        <f aca="false" t="array" ref="J70:J70">IFERROR(INDEX(Openings_Table[[Initial One-Time Fee]:[Initial One-Time Fee]],MATCH(1,(MONTH(J8)=MONTH(Openings_Table[[Opening Date]:[Opening Date]]))*(YEAR(J8)=YEAR(Openings_Table[[Opening Date]:[Opening Date]])),0)),"")</f>
        <v/>
      </c>
      <c r="K70" s="89" t="str">
        <f aca="false" t="array" ref="K70:K70">IFERROR(INDEX(Openings_Table[[Initial One-Time Fee]:[Initial One-Time Fee]],MATCH(1,(MONTH(K8)=MONTH(Openings_Table[[Opening Date]:[Opening Date]]))*(YEAR(K8)=YEAR(Openings_Table[[Opening Date]:[Opening Date]])),0)),"")</f>
        <v/>
      </c>
      <c r="L70" s="89" t="n">
        <f aca="false" t="array" ref="L70:L70">IFERROR(INDEX(Openings_Table[[Initial One-Time Fee]:[Initial One-Time Fee]],MATCH(1,(MONTH(L8)=MONTH(Openings_Table[[Opening Date]:[Opening Date]]))*(YEAR(L8)=YEAR(Openings_Table[[Opening Date]:[Opening Date]])),0)),"")</f>
        <v>150000</v>
      </c>
      <c r="M70" s="89" t="str">
        <f aca="false" t="array" ref="M70:M70">IFERROR(INDEX(Openings_Table[[Initial One-Time Fee]:[Initial One-Time Fee]],MATCH(1,(MONTH(M8)=MONTH(Openings_Table[[Opening Date]:[Opening Date]]))*(YEAR(M8)=YEAR(Openings_Table[[Opening Date]:[Opening Date]])),0)),"")</f>
        <v/>
      </c>
      <c r="N70" s="89" t="str">
        <f aca="false" t="array" ref="N70:N70">IFERROR(INDEX(Openings_Table[[Initial One-Time Fee]:[Initial One-Time Fee]],MATCH(1,(MONTH(N8)=MONTH(Openings_Table[[Opening Date]:[Opening Date]]))*(YEAR(N8)=YEAR(Openings_Table[[Opening Date]:[Opening Date]])),0)),"")</f>
        <v/>
      </c>
      <c r="O70" s="89" t="str">
        <f aca="false" t="array" ref="O70:O70">IFERROR(INDEX(Openings_Table[[Initial One-Time Fee]:[Initial One-Time Fee]],MATCH(1,(MONTH(O8)=MONTH(Openings_Table[[Opening Date]:[Opening Date]]))*(YEAR(O8)=YEAR(Openings_Table[[Opening Date]:[Opening Date]])),0)),"")</f>
        <v/>
      </c>
      <c r="P70" s="89" t="n">
        <f aca="false" t="array" ref="P70:P70">IFERROR(INDEX(Openings_Table[[Initial One-Time Fee]:[Initial One-Time Fee]],MATCH(1,(MONTH(P8)=MONTH(Openings_Table[[Opening Date]:[Opening Date]]))*(YEAR(P8)=YEAR(Openings_Table[[Opening Date]:[Opening Date]])),0)),"")</f>
        <v>400000</v>
      </c>
      <c r="Q70" s="89" t="n">
        <f aca="false" t="array" ref="Q70:Q70">IFERROR(INDEX(Openings_Table[[Initial One-Time Fee]:[Initial One-Time Fee]],MATCH(1,(MONTH(Q8)=MONTH(Openings_Table[[Opening Date]:[Opening Date]]))*(YEAR(Q8)=YEAR(Openings_Table[[Opening Date]:[Opening Date]])),0)),"")</f>
        <v>400000</v>
      </c>
      <c r="R70" s="89" t="str">
        <f aca="false" t="array" ref="R70:R70">IFERROR(INDEX(Openings_Table[[Initial One-Time Fee]:[Initial One-Time Fee]],MATCH(1,(MONTH(R8)=MONTH(Openings_Table[[Opening Date]:[Opening Date]]))*(YEAR(R8)=YEAR(Openings_Table[[Opening Date]:[Opening Date]])),0)),"")</f>
        <v/>
      </c>
      <c r="S70" s="89" t="str">
        <f aca="false" t="array" ref="S70:S70">IFERROR(INDEX(Openings_Table[[Initial One-Time Fee]:[Initial One-Time Fee]],MATCH(1,(MONTH(S8)=MONTH(Openings_Table[[Opening Date]:[Opening Date]]))*(YEAR(S8)=YEAR(Openings_Table[[Opening Date]:[Opening Date]])),0)),"")</f>
        <v/>
      </c>
      <c r="T70" s="89" t="str">
        <f aca="false" t="array" ref="T70:T70">IFERROR(INDEX(Openings_Table[[Initial One-Time Fee]:[Initial One-Time Fee]],MATCH(1,(MONTH(T8)=MONTH(Openings_Table[[Opening Date]:[Opening Date]]))*(YEAR(T8)=YEAR(Openings_Table[[Opening Date]:[Opening Date]])),0)),"")</f>
        <v/>
      </c>
      <c r="U70" s="89" t="n">
        <f aca="false" t="array" ref="U70:U70">IFERROR(INDEX(Openings_Table[[Initial One-Time Fee]:[Initial One-Time Fee]],MATCH(1,(MONTH(U8)=MONTH(Openings_Table[[Opening Date]:[Opening Date]]))*(YEAR(U8)=YEAR(Openings_Table[[Opening Date]:[Opening Date]])),0)),"")</f>
        <v>150000</v>
      </c>
      <c r="V70" s="89" t="str">
        <f aca="false" t="array" ref="V70:V70">IFERROR(INDEX(Openings_Table[[Initial One-Time Fee]:[Initial One-Time Fee]],MATCH(1,(MONTH(V8)=MONTH(Openings_Table[[Opening Date]:[Opening Date]]))*(YEAR(V8)=YEAR(Openings_Table[[Opening Date]:[Opening Date]])),0)),"")</f>
        <v/>
      </c>
      <c r="W70" s="89" t="n">
        <f aca="false" t="array" ref="W70:W70">IFERROR(INDEX(Openings_Table[[Initial One-Time Fee]:[Initial One-Time Fee]],MATCH(1,(MONTH(W8)=MONTH(Openings_Table[[Opening Date]:[Opening Date]]))*(YEAR(W8)=YEAR(Openings_Table[[Opening Date]:[Opening Date]])),0)),"")</f>
        <v>150000</v>
      </c>
      <c r="X70" s="89" t="str">
        <f aca="false" t="array" ref="X70:X70">IFERROR(INDEX(Openings_Table[[Initial One-Time Fee]:[Initial One-Time Fee]],MATCH(1,(MONTH(X8)=MONTH(Openings_Table[[Opening Date]:[Opening Date]]))*(YEAR(X8)=YEAR(Openings_Table[[Opening Date]:[Opening Date]])),0)),"")</f>
        <v/>
      </c>
      <c r="Y70" s="89" t="str">
        <f aca="false" t="array" ref="Y70:Y70">IFERROR(INDEX(Openings_Table[[Initial One-Time Fee]:[Initial One-Time Fee]],MATCH(1,(MONTH(Y8)=MONTH(Openings_Table[[Opening Date]:[Opening Date]]))*(YEAR(Y8)=YEAR(Openings_Table[[Opening Date]:[Opening Date]])),0)),"")</f>
        <v/>
      </c>
      <c r="Z70" s="89" t="n">
        <f aca="false" t="array" ref="Z70:Z70">IFERROR(INDEX(Openings_Table[[Initial One-Time Fee]:[Initial One-Time Fee]],MATCH(1,(MONTH(Z8)=MONTH(Openings_Table[[Opening Date]:[Opening Date]]))*(YEAR(Z8)=YEAR(Openings_Table[[Opening Date]:[Opening Date]])),0)),"")</f>
        <v>400000</v>
      </c>
      <c r="AA70" s="89" t="str">
        <f aca="false" t="array" ref="AA70:AA70">IFERROR(INDEX(Openings_Table[[Initial One-Time Fee]:[Initial One-Time Fee]],MATCH(1,(MONTH(AA8)=MONTH(Openings_Table[[Opening Date]:[Opening Date]]))*(YEAR(AA8)=YEAR(Openings_Table[[Opening Date]:[Opening Date]])),0)),"")</f>
        <v/>
      </c>
      <c r="AB70" s="89" t="str">
        <f aca="false" t="array" ref="AB70:AB70">IFERROR(INDEX(Openings_Table[[Initial One-Time Fee]:[Initial One-Time Fee]],MATCH(1,(MONTH(AB8)=MONTH(Openings_Table[[Opening Date]:[Opening Date]]))*(YEAR(AB8)=YEAR(Openings_Table[[Opening Date]:[Opening Date]])),0)),"")</f>
        <v/>
      </c>
      <c r="AC70" s="89" t="str">
        <f aca="false" t="array" ref="AC70:AC70">IFERROR(INDEX(Openings_Table[[Initial One-Time Fee]:[Initial One-Time Fee]],MATCH(1,(MONTH(AC8)=MONTH(Openings_Table[[Opening Date]:[Opening Date]]))*(YEAR(AC8)=YEAR(Openings_Table[[Opening Date]:[Opening Date]])),0)),"")</f>
        <v/>
      </c>
      <c r="AD70" s="89" t="n">
        <f aca="false" t="array" ref="AD70:AD70">IFERROR(INDEX(Openings_Table[[Initial One-Time Fee]:[Initial One-Time Fee]],MATCH(1,(MONTH(AD8)=MONTH(Openings_Table[[Opening Date]:[Opening Date]]))*(YEAR(AD8)=YEAR(Openings_Table[[Opening Date]:[Opening Date]])),0)),"")</f>
        <v>400000</v>
      </c>
      <c r="AE70" s="89" t="str">
        <f aca="false" t="array" ref="AE70:AE70">IFERROR(INDEX(Openings_Table[[Initial One-Time Fee]:[Initial One-Time Fee]],MATCH(1,(MONTH(AE8)=MONTH(Openings_Table[[Opening Date]:[Opening Date]]))*(YEAR(AE8)=YEAR(Openings_Table[[Opening Date]:[Opening Date]])),0)),"")</f>
        <v/>
      </c>
      <c r="AF70" s="89" t="str">
        <f aca="false" t="array" ref="AF70:AF70">IFERROR(INDEX(Openings_Table[[Initial One-Time Fee]:[Initial One-Time Fee]],MATCH(1,(MONTH(AF8)=MONTH(Openings_Table[[Opening Date]:[Opening Date]]))*(YEAR(AF8)=YEAR(Openings_Table[[Opening Date]:[Opening Date]])),0)),"")</f>
        <v/>
      </c>
      <c r="AG70" s="89" t="n">
        <f aca="false" t="array" ref="AG70:AG70">IFERROR(INDEX(Openings_Table[[Initial One-Time Fee]:[Initial One-Time Fee]],MATCH(1,(MONTH(AG8)=MONTH(Openings_Table[[Opening Date]:[Opening Date]]))*(YEAR(AG8)=YEAR(Openings_Table[[Opening Date]:[Opening Date]])),0)),"")</f>
        <v>400000</v>
      </c>
      <c r="AH70" s="89" t="str">
        <f aca="false" t="array" ref="AH70:AH70">IFERROR(INDEX(Openings_Table[[Initial One-Time Fee]:[Initial One-Time Fee]],MATCH(1,(MONTH(AH8)=MONTH(Openings_Table[[Opening Date]:[Opening Date]]))*(YEAR(AH8)=YEAR(Openings_Table[[Opening Date]:[Opening Date]])),0)),"")</f>
        <v/>
      </c>
      <c r="AI70" s="89" t="str">
        <f aca="false" t="array" ref="AI70:AI70">IFERROR(INDEX(Openings_Table[[Initial One-Time Fee]:[Initial One-Time Fee]],MATCH(1,(MONTH(AI8)=MONTH(Openings_Table[[Opening Date]:[Opening Date]]))*(YEAR(AI8)=YEAR(Openings_Table[[Opening Date]:[Opening Date]])),0)),"")</f>
        <v/>
      </c>
      <c r="AJ70" s="89" t="n">
        <f aca="false" t="array" ref="AJ70:AJ70">IFERROR(INDEX(Openings_Table[[Initial One-Time Fee]:[Initial One-Time Fee]],MATCH(1,(MONTH(AJ8)=MONTH(Openings_Table[[Opening Date]:[Opening Date]]))*(YEAR(AJ8)=YEAR(Openings_Table[[Opening Date]:[Opening Date]])),0)),"")</f>
        <v>400000</v>
      </c>
      <c r="AK70" s="89" t="str">
        <f aca="false" t="array" ref="AK70:AK70">IFERROR(INDEX(Openings_Table[[Initial One-Time Fee]:[Initial One-Time Fee]],MATCH(1,(MONTH(AK8)=MONTH(Openings_Table[[Opening Date]:[Opening Date]]))*(YEAR(AK8)=YEAR(Openings_Table[[Opening Date]:[Opening Date]])),0)),"")</f>
        <v/>
      </c>
      <c r="AL70" s="89" t="str">
        <f aca="false" t="array" ref="AL70:AL70">IFERROR(INDEX(Openings_Table[[Initial One-Time Fee]:[Initial One-Time Fee]],MATCH(1,(MONTH(AL8)=MONTH(Openings_Table[[Opening Date]:[Opening Date]]))*(YEAR(AL8)=YEAR(Openings_Table[[Opening Date]:[Opening Date]])),0)),"")</f>
        <v/>
      </c>
      <c r="AM70" s="89" t="str">
        <f aca="false" t="array" ref="AM70:AM70">IFERROR(INDEX(Openings_Table[[Initial One-Time Fee]:[Initial One-Time Fee]],MATCH(1,(MONTH(AM8)=MONTH(Openings_Table[[Opening Date]:[Opening Date]]))*(YEAR(AM8)=YEAR(Openings_Table[[Opening Date]:[Opening Date]])),0)),"")</f>
        <v/>
      </c>
      <c r="AN70" s="89" t="str">
        <f aca="false" t="array" ref="AN70:AN70">IFERROR(INDEX(Openings_Table[[Initial One-Time Fee]:[Initial One-Time Fee]],MATCH(1,(MONTH(AN8)=MONTH(Openings_Table[[Opening Date]:[Opening Date]]))*(YEAR(AN8)=YEAR(Openings_Table[[Opening Date]:[Opening Date]])),0)),"")</f>
        <v/>
      </c>
      <c r="AO70" s="89" t="str">
        <f aca="false" t="array" ref="AO70:AO70">IFERROR(INDEX(Openings_Table[[Initial One-Time Fee]:[Initial One-Time Fee]],MATCH(1,(MONTH(AO8)=MONTH(Openings_Table[[Opening Date]:[Opening Date]]))*(YEAR(AO8)=YEAR(Openings_Table[[Opening Date]:[Opening Date]])),0)),"")</f>
        <v/>
      </c>
      <c r="AP70" s="89" t="str">
        <f aca="false" t="array" ref="AP70:AP70">IFERROR(INDEX(Openings_Table[[Initial One-Time Fee]:[Initial One-Time Fee]],MATCH(1,(MONTH(AP8)=MONTH(Openings_Table[[Opening Date]:[Opening Date]]))*(YEAR(AP8)=YEAR(Openings_Table[[Opening Date]:[Opening Date]])),0)),"")</f>
        <v/>
      </c>
    </row>
    <row r="71" customFormat="false" ht="13.5" hidden="false" customHeight="false" outlineLevel="0" collapsed="false">
      <c r="A71" s="98"/>
      <c r="B71" s="97"/>
      <c r="C71" s="97"/>
      <c r="D71" s="88"/>
      <c r="E71" s="101"/>
    </row>
    <row r="72" customFormat="false" ht="13.5" hidden="false" customHeight="false" outlineLevel="0" collapsed="false">
      <c r="A72" s="98"/>
      <c r="B72" s="97"/>
      <c r="C72" s="97"/>
      <c r="D72" s="88"/>
      <c r="E72" s="98"/>
      <c r="F72" s="103" t="s">
        <v>216</v>
      </c>
      <c r="G72" s="89" t="n">
        <f aca="false">G67+SUM(G69:G70)</f>
        <v>384816.666666667</v>
      </c>
      <c r="H72" s="89" t="n">
        <f aca="false">H67+SUM(H69:H70)</f>
        <v>369633.333333333</v>
      </c>
      <c r="I72" s="89" t="n">
        <f aca="false">I67+SUM(I69:I70)</f>
        <v>354450</v>
      </c>
      <c r="J72" s="89" t="n">
        <f aca="false">J67+SUM(J69:J70)</f>
        <v>339266.666666667</v>
      </c>
      <c r="K72" s="89" t="n">
        <f aca="false">K67+SUM(K69:K70)</f>
        <v>324083.333333333</v>
      </c>
      <c r="L72" s="89" t="n">
        <f aca="false">L67+SUM(L69:L70)</f>
        <v>464175</v>
      </c>
      <c r="M72" s="89" t="n">
        <f aca="false">M67+SUM(M69:M70)</f>
        <v>456266.666666667</v>
      </c>
      <c r="N72" s="89" t="n">
        <f aca="false">N67+SUM(N69:N70)</f>
        <v>448358.333333334</v>
      </c>
      <c r="O72" s="89" t="n">
        <f aca="false">O67+SUM(O69:O70)</f>
        <v>440450</v>
      </c>
      <c r="P72" s="89" t="n">
        <f aca="false">P67+SUM(P69:P70)</f>
        <v>837775</v>
      </c>
      <c r="Q72" s="89" t="n">
        <f aca="false">Q67+SUM(Q69:Q70)</f>
        <v>1242938.88921013</v>
      </c>
      <c r="R72" s="89" t="n">
        <f aca="false">R67+SUM(R69:R70)</f>
        <v>1251706.98626467</v>
      </c>
      <c r="S72" s="89" t="n">
        <f aca="false">S67+SUM(S69:S70)</f>
        <v>1259901.27900336</v>
      </c>
      <c r="T72" s="89" t="n">
        <f aca="false">T67+SUM(T69:T70)</f>
        <v>1266674.95986811</v>
      </c>
      <c r="U72" s="89" t="n">
        <f aca="false">U67+SUM(U69:U70)</f>
        <v>1428938.98826429</v>
      </c>
      <c r="V72" s="89" t="n">
        <f aca="false">V67+SUM(V69:V70)</f>
        <v>1442772.32159762</v>
      </c>
      <c r="W72" s="89" t="n">
        <f aca="false">W67+SUM(W69:W70)</f>
        <v>1611880.65493095</v>
      </c>
      <c r="X72" s="89" t="n">
        <f aca="false">X67+SUM(X69:X70)</f>
        <v>1632988.98826429</v>
      </c>
      <c r="Y72" s="89" t="n">
        <f aca="false">Y67+SUM(Y69:Y70)</f>
        <v>1654097.32159762</v>
      </c>
      <c r="Z72" s="89" t="n">
        <f aca="false">Z67+SUM(Z69:Z70)</f>
        <v>2080438.98826429</v>
      </c>
      <c r="AA72" s="89" t="n">
        <f aca="false">AA67+SUM(AA69:AA70)</f>
        <v>2108780.65493095</v>
      </c>
      <c r="AB72" s="89" t="n">
        <f aca="false">AB67+SUM(AB69:AB70)</f>
        <v>2137768.36419188</v>
      </c>
      <c r="AC72" s="89" t="n">
        <f aca="false">AC67+SUM(AC69:AC70)</f>
        <v>2169997.65760519</v>
      </c>
      <c r="AD72" s="89" t="n">
        <f aca="false">AD67+SUM(AD69:AD70)</f>
        <v>2611549.00523998</v>
      </c>
      <c r="AE72" s="89" t="n">
        <f aca="false">AE67+SUM(AE69:AE70)</f>
        <v>2653783.04311542</v>
      </c>
      <c r="AF72" s="89" t="n">
        <f aca="false">AF67+SUM(AF69:AF70)</f>
        <v>2691724.39334496</v>
      </c>
      <c r="AG72" s="89" t="n">
        <f aca="false">AG67+SUM(AG69:AG70)</f>
        <v>3134899.07690784</v>
      </c>
      <c r="AH72" s="89" t="n">
        <f aca="false">AH67+SUM(AH69:AH70)</f>
        <v>3177707.41024117</v>
      </c>
      <c r="AI72" s="89" t="n">
        <f aca="false">AI67+SUM(AI69:AI70)</f>
        <v>3220515.7435745</v>
      </c>
      <c r="AJ72" s="89" t="n">
        <f aca="false">AJ67+SUM(AJ69:AJ70)</f>
        <v>3668557.41024117</v>
      </c>
      <c r="AK72" s="89" t="n">
        <f aca="false">AK67+SUM(AK69:AK70)</f>
        <v>3718599.07690784</v>
      </c>
      <c r="AL72" s="89" t="n">
        <f aca="false">AL67+SUM(AL69:AL70)</f>
        <v>3768640.7435745</v>
      </c>
      <c r="AM72" s="89" t="n">
        <f aca="false">AM67+SUM(AM69:AM70)</f>
        <v>3818682.41024117</v>
      </c>
      <c r="AN72" s="89" t="n">
        <f aca="false">AN67+SUM(AN69:AN70)</f>
        <v>3871286.06219876</v>
      </c>
      <c r="AO72" s="89" t="n">
        <f aca="false">AO67+SUM(AO69:AO70)</f>
        <v>3927986.76674086</v>
      </c>
      <c r="AP72" s="89" t="n">
        <f aca="false">AP67+SUM(AP69:AP70)</f>
        <v>3989521.35950064</v>
      </c>
    </row>
    <row r="73" customFormat="false" ht="13.5" hidden="false" customHeight="false" outlineLevel="0" collapsed="false">
      <c r="A73" s="98"/>
      <c r="B73" s="97"/>
      <c r="C73" s="97"/>
      <c r="D73" s="88"/>
      <c r="E73" s="98"/>
      <c r="F73" s="98"/>
    </row>
    <row r="74" customFormat="false" ht="13.5" hidden="false" customHeight="false" outlineLevel="0" collapsed="false">
      <c r="A74" s="98"/>
      <c r="B74" s="85"/>
      <c r="C74" s="85"/>
      <c r="D74" s="86" t="s">
        <v>56</v>
      </c>
      <c r="E74" s="99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</row>
    <row r="75" s="72" customFormat="true" ht="13.5" hidden="false" customHeight="false" outlineLevel="0" collapsed="false">
      <c r="B75" s="97"/>
      <c r="C75" s="97"/>
      <c r="D75" s="88"/>
      <c r="F75" s="104"/>
    </row>
    <row r="76" s="72" customFormat="true" ht="13.5" hidden="false" customHeight="false" outlineLevel="0" collapsed="false">
      <c r="B76" s="97"/>
      <c r="C76" s="97"/>
      <c r="D76" s="88"/>
      <c r="F76" s="105" t="s">
        <v>57</v>
      </c>
      <c r="G76" s="106" t="n">
        <v>45322</v>
      </c>
      <c r="H76" s="106" t="n">
        <v>45351</v>
      </c>
      <c r="I76" s="106" t="n">
        <v>45382</v>
      </c>
    </row>
    <row r="77" s="72" customFormat="true" ht="13.5" hidden="false" customHeight="false" outlineLevel="0" collapsed="false">
      <c r="B77" s="97"/>
      <c r="C77" s="97"/>
      <c r="D77" s="88"/>
      <c r="F77" s="104"/>
    </row>
    <row r="78" s="72" customFormat="true" ht="13.5" hidden="false" customHeight="false" outlineLevel="0" collapsed="false">
      <c r="B78" s="107"/>
      <c r="C78" s="107"/>
      <c r="D78" s="88"/>
      <c r="F78" s="105" t="s">
        <v>58</v>
      </c>
    </row>
    <row r="79" s="72" customFormat="true" ht="13.5" hidden="false" customHeight="false" outlineLevel="0" collapsed="false">
      <c r="B79" s="107"/>
      <c r="C79" s="70"/>
      <c r="D79" s="92" t="n">
        <v>500000</v>
      </c>
      <c r="F79" s="108" t="s">
        <v>59</v>
      </c>
      <c r="G79" s="109" t="n">
        <f aca="false">$D$79</f>
        <v>500000</v>
      </c>
      <c r="H79" s="109" t="n">
        <f aca="false">$D$79</f>
        <v>500000</v>
      </c>
      <c r="I79" s="109" t="n">
        <f aca="false">$D$79</f>
        <v>500000</v>
      </c>
      <c r="J79" s="109" t="n">
        <f aca="false">$D$79</f>
        <v>500000</v>
      </c>
      <c r="K79" s="109" t="n">
        <f aca="false">$D$79</f>
        <v>500000</v>
      </c>
      <c r="L79" s="109" t="n">
        <f aca="false">$D$79</f>
        <v>500000</v>
      </c>
      <c r="M79" s="109" t="n">
        <f aca="false">$D$79</f>
        <v>500000</v>
      </c>
      <c r="N79" s="109" t="n">
        <f aca="false">$D$79</f>
        <v>500000</v>
      </c>
      <c r="O79" s="109" t="n">
        <f aca="false">$D$79</f>
        <v>500000</v>
      </c>
      <c r="P79" s="109" t="n">
        <f aca="false">$D$79</f>
        <v>500000</v>
      </c>
      <c r="Q79" s="109" t="n">
        <f aca="false">$D$79</f>
        <v>500000</v>
      </c>
      <c r="R79" s="109" t="n">
        <f aca="false">$D$79</f>
        <v>500000</v>
      </c>
      <c r="S79" s="109" t="n">
        <f aca="false">$D$79</f>
        <v>500000</v>
      </c>
      <c r="T79" s="109" t="n">
        <f aca="false">$D$79</f>
        <v>500000</v>
      </c>
      <c r="U79" s="109" t="n">
        <f aca="false">$D$79</f>
        <v>500000</v>
      </c>
      <c r="V79" s="109" t="n">
        <f aca="false">$D$79</f>
        <v>500000</v>
      </c>
      <c r="W79" s="109" t="n">
        <f aca="false">$D$79</f>
        <v>500000</v>
      </c>
      <c r="X79" s="109" t="n">
        <f aca="false">$D$79</f>
        <v>500000</v>
      </c>
      <c r="Y79" s="109" t="n">
        <f aca="false">$D$79</f>
        <v>500000</v>
      </c>
      <c r="Z79" s="109" t="n">
        <f aca="false">$D$79</f>
        <v>500000</v>
      </c>
      <c r="AA79" s="109" t="n">
        <f aca="false">$D$79</f>
        <v>500000</v>
      </c>
      <c r="AB79" s="109" t="n">
        <f aca="false">$D$79</f>
        <v>500000</v>
      </c>
      <c r="AC79" s="109" t="n">
        <f aca="false">$D$79</f>
        <v>500000</v>
      </c>
      <c r="AD79" s="109" t="n">
        <f aca="false">$D$79</f>
        <v>500000</v>
      </c>
      <c r="AE79" s="109" t="n">
        <f aca="false">$D$79</f>
        <v>500000</v>
      </c>
      <c r="AF79" s="109" t="n">
        <f aca="false">$D$79</f>
        <v>500000</v>
      </c>
      <c r="AG79" s="109" t="n">
        <f aca="false">$D$79</f>
        <v>500000</v>
      </c>
      <c r="AH79" s="109" t="n">
        <f aca="false">$D$79</f>
        <v>500000</v>
      </c>
      <c r="AI79" s="109" t="n">
        <f aca="false">$D$79</f>
        <v>500000</v>
      </c>
      <c r="AJ79" s="109" t="n">
        <f aca="false">$D$79</f>
        <v>500000</v>
      </c>
      <c r="AK79" s="109" t="n">
        <f aca="false">$D$79</f>
        <v>500000</v>
      </c>
      <c r="AL79" s="109" t="n">
        <f aca="false">$D$79</f>
        <v>500000</v>
      </c>
      <c r="AM79" s="109" t="n">
        <f aca="false">$D$79</f>
        <v>500000</v>
      </c>
      <c r="AN79" s="109" t="n">
        <f aca="false">$D$79</f>
        <v>500000</v>
      </c>
      <c r="AO79" s="109" t="n">
        <f aca="false">$D$79</f>
        <v>500000</v>
      </c>
      <c r="AP79" s="109" t="n">
        <f aca="false">$D$79</f>
        <v>500000</v>
      </c>
    </row>
    <row r="80" s="72" customFormat="true" ht="13.5" hidden="false" customHeight="false" outlineLevel="0" collapsed="false">
      <c r="B80" s="110"/>
      <c r="C80" s="110"/>
      <c r="D80" s="88"/>
    </row>
    <row r="81" s="72" customFormat="true" ht="13.5" hidden="false" customHeight="false" outlineLevel="0" collapsed="false">
      <c r="B81" s="107"/>
      <c r="C81" s="107"/>
      <c r="D81" s="88"/>
      <c r="F81" s="105" t="s">
        <v>217</v>
      </c>
      <c r="G81" s="89" t="n">
        <f aca="false">SUM(G79:G80)</f>
        <v>500000</v>
      </c>
      <c r="H81" s="89" t="n">
        <f aca="false">SUM(H79:H80)</f>
        <v>500000</v>
      </c>
      <c r="I81" s="89" t="n">
        <f aca="false">SUM(I79:I80)</f>
        <v>500000</v>
      </c>
      <c r="J81" s="89" t="n">
        <f aca="false">SUM(J79:J80)</f>
        <v>500000</v>
      </c>
      <c r="K81" s="89" t="n">
        <f aca="false">SUM(K79:K80)</f>
        <v>500000</v>
      </c>
      <c r="L81" s="89" t="n">
        <f aca="false">SUM(L79:L80)</f>
        <v>500000</v>
      </c>
      <c r="M81" s="89" t="n">
        <f aca="false">SUM(M79:M80)</f>
        <v>500000</v>
      </c>
      <c r="N81" s="89" t="n">
        <f aca="false">SUM(N79:N80)</f>
        <v>500000</v>
      </c>
      <c r="O81" s="89" t="n">
        <f aca="false">SUM(O79:O80)</f>
        <v>500000</v>
      </c>
      <c r="P81" s="89" t="n">
        <f aca="false">SUM(P79:P80)</f>
        <v>500000</v>
      </c>
      <c r="Q81" s="89" t="n">
        <f aca="false">SUM(Q79:Q80)</f>
        <v>500000</v>
      </c>
      <c r="R81" s="89" t="n">
        <f aca="false">SUM(R79:R80)</f>
        <v>500000</v>
      </c>
      <c r="S81" s="89" t="n">
        <f aca="false">SUM(S79:S80)</f>
        <v>500000</v>
      </c>
      <c r="T81" s="89" t="n">
        <f aca="false">SUM(T79:T80)</f>
        <v>500000</v>
      </c>
      <c r="U81" s="89" t="n">
        <f aca="false">SUM(U79:U80)</f>
        <v>500000</v>
      </c>
      <c r="V81" s="89" t="n">
        <f aca="false">SUM(V79:V80)</f>
        <v>500000</v>
      </c>
      <c r="W81" s="89" t="n">
        <f aca="false">SUM(W79:W80)</f>
        <v>500000</v>
      </c>
      <c r="X81" s="89" t="n">
        <f aca="false">SUM(X79:X80)</f>
        <v>500000</v>
      </c>
      <c r="Y81" s="89" t="n">
        <f aca="false">SUM(Y79:Y80)</f>
        <v>500000</v>
      </c>
      <c r="Z81" s="89" t="n">
        <f aca="false">SUM(Z79:Z80)</f>
        <v>500000</v>
      </c>
      <c r="AA81" s="89" t="n">
        <f aca="false">SUM(AA79:AA80)</f>
        <v>500000</v>
      </c>
      <c r="AB81" s="89" t="n">
        <f aca="false">SUM(AB79:AB80)</f>
        <v>500000</v>
      </c>
      <c r="AC81" s="89" t="n">
        <f aca="false">SUM(AC79:AC80)</f>
        <v>500000</v>
      </c>
      <c r="AD81" s="89" t="n">
        <f aca="false">SUM(AD79:AD80)</f>
        <v>500000</v>
      </c>
      <c r="AE81" s="89" t="n">
        <f aca="false">SUM(AE79:AE80)</f>
        <v>500000</v>
      </c>
      <c r="AF81" s="89" t="n">
        <f aca="false">SUM(AF79:AF80)</f>
        <v>500000</v>
      </c>
      <c r="AG81" s="89" t="n">
        <f aca="false">SUM(AG79:AG80)</f>
        <v>500000</v>
      </c>
      <c r="AH81" s="89" t="n">
        <f aca="false">SUM(AH79:AH80)</f>
        <v>500000</v>
      </c>
      <c r="AI81" s="89" t="n">
        <f aca="false">SUM(AI79:AI80)</f>
        <v>500000</v>
      </c>
      <c r="AJ81" s="89" t="n">
        <f aca="false">SUM(AJ79:AJ80)</f>
        <v>500000</v>
      </c>
      <c r="AK81" s="89" t="n">
        <f aca="false">SUM(AK79:AK80)</f>
        <v>500000</v>
      </c>
      <c r="AL81" s="89" t="n">
        <f aca="false">SUM(AL79:AL80)</f>
        <v>500000</v>
      </c>
      <c r="AM81" s="89" t="n">
        <f aca="false">SUM(AM79:AM80)</f>
        <v>500000</v>
      </c>
      <c r="AN81" s="89" t="n">
        <f aca="false">SUM(AN79:AN80)</f>
        <v>500000</v>
      </c>
      <c r="AO81" s="89" t="n">
        <f aca="false">SUM(AO79:AO80)</f>
        <v>500000</v>
      </c>
      <c r="AP81" s="89" t="n">
        <f aca="false">SUM(AP79:AP80)</f>
        <v>500000</v>
      </c>
    </row>
    <row r="82" s="72" customFormat="true" ht="13.5" hidden="false" customHeight="false" outlineLevel="0" collapsed="false">
      <c r="B82" s="107"/>
      <c r="C82" s="107"/>
      <c r="D82" s="88"/>
      <c r="F82" s="104"/>
    </row>
    <row r="83" s="72" customFormat="true" ht="13.5" hidden="false" customHeight="false" outlineLevel="0" collapsed="false">
      <c r="B83" s="107"/>
      <c r="C83" s="107"/>
      <c r="D83" s="88"/>
      <c r="F83" s="105" t="s">
        <v>60</v>
      </c>
    </row>
    <row r="84" s="72" customFormat="true" ht="13.5" hidden="false" customHeight="false" outlineLevel="0" collapsed="false">
      <c r="B84" s="107"/>
      <c r="C84" s="107"/>
      <c r="D84" s="88"/>
      <c r="F84" s="108" t="s">
        <v>61</v>
      </c>
      <c r="G84" s="109" t="n">
        <f aca="false">G72</f>
        <v>384816.666666667</v>
      </c>
      <c r="H84" s="109" t="n">
        <f aca="false">H72</f>
        <v>369633.333333333</v>
      </c>
      <c r="I84" s="109" t="n">
        <f aca="false">I72</f>
        <v>354450</v>
      </c>
      <c r="J84" s="109" t="n">
        <f aca="false">J72</f>
        <v>339266.666666667</v>
      </c>
      <c r="K84" s="109" t="n">
        <f aca="false">K72</f>
        <v>324083.333333333</v>
      </c>
      <c r="L84" s="109" t="n">
        <f aca="false">L72</f>
        <v>464175</v>
      </c>
      <c r="M84" s="109" t="n">
        <f aca="false">M72</f>
        <v>456266.666666667</v>
      </c>
      <c r="N84" s="109" t="n">
        <f aca="false">N72</f>
        <v>448358.333333334</v>
      </c>
      <c r="O84" s="109" t="n">
        <f aca="false">O72</f>
        <v>440450</v>
      </c>
      <c r="P84" s="109" t="n">
        <f aca="false">P72</f>
        <v>837775</v>
      </c>
      <c r="Q84" s="109" t="n">
        <f aca="false">Q72</f>
        <v>1242938.88921013</v>
      </c>
      <c r="R84" s="109" t="n">
        <f aca="false">R72</f>
        <v>1251706.98626467</v>
      </c>
      <c r="S84" s="109" t="n">
        <f aca="false">S72</f>
        <v>1259901.27900336</v>
      </c>
      <c r="T84" s="109" t="n">
        <f aca="false">T72</f>
        <v>1266674.95986811</v>
      </c>
      <c r="U84" s="109" t="n">
        <f aca="false">U72</f>
        <v>1428938.98826429</v>
      </c>
      <c r="V84" s="109" t="n">
        <f aca="false">V72</f>
        <v>1442772.32159762</v>
      </c>
      <c r="W84" s="109" t="n">
        <f aca="false">W72</f>
        <v>1611880.65493095</v>
      </c>
      <c r="X84" s="109" t="n">
        <f aca="false">X72</f>
        <v>1632988.98826429</v>
      </c>
      <c r="Y84" s="109" t="n">
        <f aca="false">Y72</f>
        <v>1654097.32159762</v>
      </c>
      <c r="Z84" s="109" t="n">
        <f aca="false">Z72</f>
        <v>2080438.98826429</v>
      </c>
      <c r="AA84" s="109" t="n">
        <f aca="false">AA72</f>
        <v>2108780.65493095</v>
      </c>
      <c r="AB84" s="109" t="n">
        <f aca="false">AB72</f>
        <v>2137768.36419188</v>
      </c>
      <c r="AC84" s="109" t="n">
        <f aca="false">AC72</f>
        <v>2169997.65760519</v>
      </c>
      <c r="AD84" s="109" t="n">
        <f aca="false">AD72</f>
        <v>2611549.00523998</v>
      </c>
      <c r="AE84" s="109" t="n">
        <f aca="false">AE72</f>
        <v>2653783.04311542</v>
      </c>
      <c r="AF84" s="109" t="n">
        <f aca="false">AF72</f>
        <v>2691724.39334496</v>
      </c>
      <c r="AG84" s="109" t="n">
        <f aca="false">AG72</f>
        <v>3134899.07690784</v>
      </c>
      <c r="AH84" s="109" t="n">
        <f aca="false">AH72</f>
        <v>3177707.41024117</v>
      </c>
      <c r="AI84" s="109" t="n">
        <f aca="false">AI72</f>
        <v>3220515.7435745</v>
      </c>
      <c r="AJ84" s="109" t="n">
        <f aca="false">AJ72</f>
        <v>3668557.41024117</v>
      </c>
      <c r="AK84" s="109" t="n">
        <f aca="false">AK72</f>
        <v>3718599.07690784</v>
      </c>
      <c r="AL84" s="109" t="n">
        <f aca="false">AL72</f>
        <v>3768640.7435745</v>
      </c>
      <c r="AM84" s="109" t="n">
        <f aca="false">AM72</f>
        <v>3818682.41024117</v>
      </c>
      <c r="AN84" s="109" t="n">
        <f aca="false">AN72</f>
        <v>3871286.06219876</v>
      </c>
      <c r="AO84" s="109" t="n">
        <f aca="false">AO72</f>
        <v>3927986.76674086</v>
      </c>
      <c r="AP84" s="109" t="n">
        <f aca="false">AP72</f>
        <v>3989521.35950064</v>
      </c>
    </row>
    <row r="85" s="72" customFormat="true" ht="13.5" hidden="false" customHeight="false" outlineLevel="0" collapsed="false">
      <c r="B85" s="107"/>
      <c r="C85" s="107"/>
      <c r="D85" s="88"/>
    </row>
    <row r="86" s="72" customFormat="true" ht="13.5" hidden="false" customHeight="false" outlineLevel="0" collapsed="false">
      <c r="B86" s="107"/>
      <c r="C86" s="107"/>
      <c r="D86" s="88"/>
      <c r="F86" s="105" t="s">
        <v>218</v>
      </c>
      <c r="G86" s="89" t="n">
        <f aca="false">SUM(G84:G85)</f>
        <v>384816.666666667</v>
      </c>
      <c r="H86" s="89" t="n">
        <f aca="false">SUM(H84:H85)</f>
        <v>369633.333333333</v>
      </c>
      <c r="I86" s="89" t="n">
        <f aca="false">SUM(I84:I85)</f>
        <v>354450</v>
      </c>
      <c r="J86" s="89" t="n">
        <f aca="false">SUM(J84:J85)</f>
        <v>339266.666666667</v>
      </c>
      <c r="K86" s="89" t="n">
        <f aca="false">SUM(K84:K85)</f>
        <v>324083.333333333</v>
      </c>
      <c r="L86" s="89" t="n">
        <f aca="false">SUM(L84:L85)</f>
        <v>464175</v>
      </c>
      <c r="M86" s="89" t="n">
        <f aca="false">SUM(M84:M85)</f>
        <v>456266.666666667</v>
      </c>
      <c r="N86" s="89" t="n">
        <f aca="false">SUM(N84:N85)</f>
        <v>448358.333333334</v>
      </c>
      <c r="O86" s="89" t="n">
        <f aca="false">SUM(O84:O85)</f>
        <v>440450</v>
      </c>
      <c r="P86" s="89" t="n">
        <f aca="false">SUM(P84:P85)</f>
        <v>837775</v>
      </c>
      <c r="Q86" s="89" t="n">
        <f aca="false">SUM(Q84:Q85)</f>
        <v>1242938.88921013</v>
      </c>
      <c r="R86" s="89" t="n">
        <f aca="false">SUM(R84:R85)</f>
        <v>1251706.98626467</v>
      </c>
      <c r="S86" s="89" t="n">
        <f aca="false">SUM(S84:S85)</f>
        <v>1259901.27900336</v>
      </c>
      <c r="T86" s="89" t="n">
        <f aca="false">SUM(T84:T85)</f>
        <v>1266674.95986811</v>
      </c>
      <c r="U86" s="89" t="n">
        <f aca="false">SUM(U84:U85)</f>
        <v>1428938.98826429</v>
      </c>
      <c r="V86" s="89" t="n">
        <f aca="false">SUM(V84:V85)</f>
        <v>1442772.32159762</v>
      </c>
      <c r="W86" s="89" t="n">
        <f aca="false">SUM(W84:W85)</f>
        <v>1611880.65493095</v>
      </c>
      <c r="X86" s="89" t="n">
        <f aca="false">SUM(X84:X85)</f>
        <v>1632988.98826429</v>
      </c>
      <c r="Y86" s="89" t="n">
        <f aca="false">SUM(Y84:Y85)</f>
        <v>1654097.32159762</v>
      </c>
      <c r="Z86" s="89" t="n">
        <f aca="false">SUM(Z84:Z85)</f>
        <v>2080438.98826429</v>
      </c>
      <c r="AA86" s="89" t="n">
        <f aca="false">SUM(AA84:AA85)</f>
        <v>2108780.65493095</v>
      </c>
      <c r="AB86" s="89" t="n">
        <f aca="false">SUM(AB84:AB85)</f>
        <v>2137768.36419188</v>
      </c>
      <c r="AC86" s="89" t="n">
        <f aca="false">SUM(AC84:AC85)</f>
        <v>2169997.65760519</v>
      </c>
      <c r="AD86" s="89" t="n">
        <f aca="false">SUM(AD84:AD85)</f>
        <v>2611549.00523998</v>
      </c>
      <c r="AE86" s="89" t="n">
        <f aca="false">SUM(AE84:AE85)</f>
        <v>2653783.04311542</v>
      </c>
      <c r="AF86" s="89" t="n">
        <f aca="false">SUM(AF84:AF85)</f>
        <v>2691724.39334496</v>
      </c>
      <c r="AG86" s="89" t="n">
        <f aca="false">SUM(AG84:AG85)</f>
        <v>3134899.07690784</v>
      </c>
      <c r="AH86" s="89" t="n">
        <f aca="false">SUM(AH84:AH85)</f>
        <v>3177707.41024117</v>
      </c>
      <c r="AI86" s="89" t="n">
        <f aca="false">SUM(AI84:AI85)</f>
        <v>3220515.7435745</v>
      </c>
      <c r="AJ86" s="89" t="n">
        <f aca="false">SUM(AJ84:AJ85)</f>
        <v>3668557.41024117</v>
      </c>
      <c r="AK86" s="89" t="n">
        <f aca="false">SUM(AK84:AK85)</f>
        <v>3718599.07690784</v>
      </c>
      <c r="AL86" s="89" t="n">
        <f aca="false">SUM(AL84:AL85)</f>
        <v>3768640.7435745</v>
      </c>
      <c r="AM86" s="89" t="n">
        <f aca="false">SUM(AM84:AM85)</f>
        <v>3818682.41024117</v>
      </c>
      <c r="AN86" s="89" t="n">
        <f aca="false">SUM(AN84:AN85)</f>
        <v>3871286.06219876</v>
      </c>
      <c r="AO86" s="89" t="n">
        <f aca="false">SUM(AO84:AO85)</f>
        <v>3927986.76674086</v>
      </c>
      <c r="AP86" s="89" t="n">
        <f aca="false">SUM(AP84:AP85)</f>
        <v>3989521.35950064</v>
      </c>
    </row>
    <row r="87" s="72" customFormat="true" ht="13.5" hidden="false" customHeight="false" outlineLevel="0" collapsed="false">
      <c r="B87" s="107"/>
      <c r="C87" s="107"/>
      <c r="D87" s="88"/>
      <c r="F87" s="104"/>
    </row>
    <row r="88" s="72" customFormat="true" ht="13.5" hidden="false" customHeight="false" outlineLevel="0" collapsed="false">
      <c r="B88" s="107"/>
      <c r="C88" s="107"/>
      <c r="D88" s="88"/>
      <c r="F88" s="105" t="s">
        <v>62</v>
      </c>
      <c r="G88" s="89" t="n">
        <f aca="false">G81+G86</f>
        <v>884816.666666667</v>
      </c>
      <c r="H88" s="89" t="n">
        <f aca="false">H81+H86</f>
        <v>869633.333333333</v>
      </c>
      <c r="I88" s="89" t="n">
        <f aca="false">I81+I86</f>
        <v>854450</v>
      </c>
      <c r="J88" s="89" t="n">
        <f aca="false">J81+J86</f>
        <v>839266.666666667</v>
      </c>
      <c r="K88" s="89" t="n">
        <f aca="false">K81+K86</f>
        <v>824083.333333334</v>
      </c>
      <c r="L88" s="89" t="n">
        <f aca="false">L81+L86</f>
        <v>964175</v>
      </c>
      <c r="M88" s="89" t="n">
        <f aca="false">M81+M86</f>
        <v>956266.666666667</v>
      </c>
      <c r="N88" s="89" t="n">
        <f aca="false">N81+N86</f>
        <v>948358.333333334</v>
      </c>
      <c r="O88" s="89" t="n">
        <f aca="false">O81+O86</f>
        <v>940450</v>
      </c>
      <c r="P88" s="89" t="n">
        <f aca="false">P81+P86</f>
        <v>1337775</v>
      </c>
      <c r="Q88" s="89" t="n">
        <f aca="false">Q81+Q86</f>
        <v>1742938.88921013</v>
      </c>
      <c r="R88" s="89" t="n">
        <f aca="false">R81+R86</f>
        <v>1751706.98626467</v>
      </c>
      <c r="S88" s="89" t="n">
        <f aca="false">S81+S86</f>
        <v>1759901.27900336</v>
      </c>
      <c r="T88" s="89" t="n">
        <f aca="false">T81+T86</f>
        <v>1766674.95986811</v>
      </c>
      <c r="U88" s="89" t="n">
        <f aca="false">U81+U86</f>
        <v>1928938.98826429</v>
      </c>
      <c r="V88" s="89" t="n">
        <f aca="false">V81+V86</f>
        <v>1942772.32159762</v>
      </c>
      <c r="W88" s="89" t="n">
        <f aca="false">W81+W86</f>
        <v>2111880.65493095</v>
      </c>
      <c r="X88" s="89" t="n">
        <f aca="false">X81+X86</f>
        <v>2132988.98826429</v>
      </c>
      <c r="Y88" s="89" t="n">
        <f aca="false">Y81+Y86</f>
        <v>2154097.32159762</v>
      </c>
      <c r="Z88" s="89" t="n">
        <f aca="false">Z81+Z86</f>
        <v>2580438.98826429</v>
      </c>
      <c r="AA88" s="89" t="n">
        <f aca="false">AA81+AA86</f>
        <v>2608780.65493095</v>
      </c>
      <c r="AB88" s="89" t="n">
        <f aca="false">AB81+AB86</f>
        <v>2637768.36419188</v>
      </c>
      <c r="AC88" s="89" t="n">
        <f aca="false">AC81+AC86</f>
        <v>2669997.65760519</v>
      </c>
      <c r="AD88" s="89" t="n">
        <f aca="false">AD81+AD86</f>
        <v>3111549.00523998</v>
      </c>
      <c r="AE88" s="89" t="n">
        <f aca="false">AE81+AE86</f>
        <v>3153783.04311542</v>
      </c>
      <c r="AF88" s="89" t="n">
        <f aca="false">AF81+AF86</f>
        <v>3191724.39334496</v>
      </c>
      <c r="AG88" s="89" t="n">
        <f aca="false">AG81+AG86</f>
        <v>3634899.07690784</v>
      </c>
      <c r="AH88" s="89" t="n">
        <f aca="false">AH81+AH86</f>
        <v>3677707.41024117</v>
      </c>
      <c r="AI88" s="89" t="n">
        <f aca="false">AI81+AI86</f>
        <v>3720515.7435745</v>
      </c>
      <c r="AJ88" s="89" t="n">
        <f aca="false">AJ81+AJ86</f>
        <v>4168557.41024117</v>
      </c>
      <c r="AK88" s="89" t="n">
        <f aca="false">AK81+AK86</f>
        <v>4218599.07690784</v>
      </c>
      <c r="AL88" s="89" t="n">
        <f aca="false">AL81+AL86</f>
        <v>4268640.7435745</v>
      </c>
      <c r="AM88" s="89" t="n">
        <f aca="false">AM81+AM86</f>
        <v>4318682.41024117</v>
      </c>
      <c r="AN88" s="89" t="n">
        <f aca="false">AN81+AN86</f>
        <v>4371286.06219876</v>
      </c>
      <c r="AO88" s="89" t="n">
        <f aca="false">AO81+AO86</f>
        <v>4427986.76674086</v>
      </c>
      <c r="AP88" s="89" t="n">
        <f aca="false">AP81+AP86</f>
        <v>4489521.35950064</v>
      </c>
    </row>
    <row r="89" s="72" customFormat="true" ht="13.5" hidden="false" customHeight="false" outlineLevel="0" collapsed="false">
      <c r="B89" s="107"/>
      <c r="C89" s="107"/>
      <c r="D89" s="88"/>
      <c r="F89" s="104"/>
    </row>
    <row r="90" s="72" customFormat="true" ht="13.5" hidden="false" customHeight="false" outlineLevel="0" collapsed="false">
      <c r="B90" s="107"/>
      <c r="C90" s="107"/>
      <c r="D90" s="88"/>
      <c r="F90" s="105" t="s">
        <v>63</v>
      </c>
    </row>
    <row r="91" s="72" customFormat="true" ht="13.5" hidden="false" customHeight="false" outlineLevel="0" collapsed="false">
      <c r="B91" s="110"/>
      <c r="C91" s="110"/>
      <c r="D91" s="88"/>
      <c r="F91" s="108" t="s">
        <v>64</v>
      </c>
      <c r="G91" s="109" t="n">
        <f aca="false">SUMIFS(Openings_Table[[Initial One-Time Fee]:[Initial One-Time Fee]],Openings_Table[[Opening Date]:[Opening Date]],"&lt;"&amp;G$8)-SUM($G$28:G28)</f>
        <v>396666.666666667</v>
      </c>
      <c r="H91" s="109" t="n">
        <f aca="false">SUMIFS(Openings_Table[[Initial One-Time Fee]:[Initial One-Time Fee]],Openings_Table[[Opening Date]:[Opening Date]],"&lt;"&amp;H$8)-SUM($G$28:H28)</f>
        <v>393333.333333333</v>
      </c>
      <c r="I91" s="109" t="n">
        <f aca="false">SUMIFS(Openings_Table[[Initial One-Time Fee]:[Initial One-Time Fee]],Openings_Table[[Opening Date]:[Opening Date]],"&lt;"&amp;I$8)-SUM($G$28:I28)</f>
        <v>390000</v>
      </c>
      <c r="J91" s="109" t="n">
        <f aca="false">SUMIFS(Openings_Table[[Initial One-Time Fee]:[Initial One-Time Fee]],Openings_Table[[Opening Date]:[Opening Date]],"&lt;"&amp;J$8)-SUM($G$28:J28)</f>
        <v>386666.666666667</v>
      </c>
      <c r="K91" s="109" t="n">
        <f aca="false">SUMIFS(Openings_Table[[Initial One-Time Fee]:[Initial One-Time Fee]],Openings_Table[[Opening Date]:[Opening Date]],"&lt;"&amp;K$8)-SUM($G$28:K28)</f>
        <v>383333.333333333</v>
      </c>
      <c r="L91" s="109" t="n">
        <f aca="false">SUMIFS(Openings_Table[[Initial One-Time Fee]:[Initial One-Time Fee]],Openings_Table[[Opening Date]:[Opening Date]],"&lt;"&amp;L$8)-SUM($G$28:L28)</f>
        <v>528750</v>
      </c>
      <c r="M91" s="109" t="n">
        <f aca="false">SUMIFS(Openings_Table[[Initial One-Time Fee]:[Initial One-Time Fee]],Openings_Table[[Opening Date]:[Opening Date]],"&lt;"&amp;M$8)-SUM($G$28:M28)</f>
        <v>524166.666666667</v>
      </c>
      <c r="N91" s="109" t="n">
        <f aca="false">SUMIFS(Openings_Table[[Initial One-Time Fee]:[Initial One-Time Fee]],Openings_Table[[Opening Date]:[Opening Date]],"&lt;"&amp;N$8)-SUM($G$28:N28)</f>
        <v>519583.333333333</v>
      </c>
      <c r="O91" s="109" t="n">
        <f aca="false">SUMIFS(Openings_Table[[Initial One-Time Fee]:[Initial One-Time Fee]],Openings_Table[[Opening Date]:[Opening Date]],"&lt;"&amp;O$8)-SUM($G$28:O28)</f>
        <v>515000</v>
      </c>
      <c r="P91" s="109" t="n">
        <f aca="false">SUMIFS(Openings_Table[[Initial One-Time Fee]:[Initial One-Time Fee]],Openings_Table[[Opening Date]:[Opening Date]],"&lt;"&amp;P$8)-SUM($G$28:P28)</f>
        <v>907083.333333333</v>
      </c>
      <c r="Q91" s="109" t="n">
        <f aca="false">SUMIFS(Openings_Table[[Initial One-Time Fee]:[Initial One-Time Fee]],Openings_Table[[Opening Date]:[Opening Date]],"&lt;"&amp;Q$8)-SUM($G$28:Q28)</f>
        <v>1295833.33333333</v>
      </c>
      <c r="R91" s="109" t="n">
        <f aca="false">SUMIFS(Openings_Table[[Initial One-Time Fee]:[Initial One-Time Fee]],Openings_Table[[Opening Date]:[Opening Date]],"&lt;"&amp;R$8)-SUM($G$28:R28)</f>
        <v>1284583.33333333</v>
      </c>
      <c r="S91" s="109" t="n">
        <f aca="false">SUMIFS(Openings_Table[[Initial One-Time Fee]:[Initial One-Time Fee]],Openings_Table[[Opening Date]:[Opening Date]],"&lt;"&amp;S$8)-SUM($G$28:S28)</f>
        <v>1273333.33333333</v>
      </c>
      <c r="T91" s="109" t="n">
        <f aca="false">SUMIFS(Openings_Table[[Initial One-Time Fee]:[Initial One-Time Fee]],Openings_Table[[Opening Date]:[Opening Date]],"&lt;"&amp;T$8)-SUM($G$28:T28)</f>
        <v>1262083.33333333</v>
      </c>
      <c r="U91" s="109" t="n">
        <f aca="false">SUMIFS(Openings_Table[[Initial One-Time Fee]:[Initial One-Time Fee]],Openings_Table[[Opening Date]:[Opening Date]],"&lt;"&amp;U$8)-SUM($G$28:U28)</f>
        <v>1399583.33333333</v>
      </c>
      <c r="V91" s="109" t="n">
        <f aca="false">SUMIFS(Openings_Table[[Initial One-Time Fee]:[Initial One-Time Fee]],Openings_Table[[Opening Date]:[Opening Date]],"&lt;"&amp;V$8)-SUM($G$28:V28)</f>
        <v>1387083.33333333</v>
      </c>
      <c r="W91" s="109" t="n">
        <f aca="false">SUMIFS(Openings_Table[[Initial One-Time Fee]:[Initial One-Time Fee]],Openings_Table[[Opening Date]:[Opening Date]],"&lt;"&amp;W$8)-SUM($G$28:W28)</f>
        <v>1523333.33333333</v>
      </c>
      <c r="X91" s="109" t="n">
        <f aca="false">SUMIFS(Openings_Table[[Initial One-Time Fee]:[Initial One-Time Fee]],Openings_Table[[Opening Date]:[Opening Date]],"&lt;"&amp;X$8)-SUM($G$28:X28)</f>
        <v>1509583.33333333</v>
      </c>
      <c r="Y91" s="109" t="n">
        <f aca="false">SUMIFS(Openings_Table[[Initial One-Time Fee]:[Initial One-Time Fee]],Openings_Table[[Opening Date]:[Opening Date]],"&lt;"&amp;Y$8)-SUM($G$28:Y28)</f>
        <v>1495833.33333333</v>
      </c>
      <c r="Z91" s="109" t="n">
        <f aca="false">SUMIFS(Openings_Table[[Initial One-Time Fee]:[Initial One-Time Fee]],Openings_Table[[Opening Date]:[Opening Date]],"&lt;"&amp;Z$8)-SUM($G$28:Z28)</f>
        <v>1878750</v>
      </c>
      <c r="AA91" s="109" t="n">
        <f aca="false">SUMIFS(Openings_Table[[Initial One-Time Fee]:[Initial One-Time Fee]],Openings_Table[[Opening Date]:[Opening Date]],"&lt;"&amp;AA$8)-SUM($G$28:AA28)</f>
        <v>1861666.66666667</v>
      </c>
      <c r="AB91" s="109" t="n">
        <f aca="false">SUMIFS(Openings_Table[[Initial One-Time Fee]:[Initial One-Time Fee]],Openings_Table[[Opening Date]:[Opening Date]],"&lt;"&amp;AB$8)-SUM($G$28:AB28)</f>
        <v>1844583.33333333</v>
      </c>
      <c r="AC91" s="109" t="n">
        <f aca="false">SUMIFS(Openings_Table[[Initial One-Time Fee]:[Initial One-Time Fee]],Openings_Table[[Opening Date]:[Opening Date]],"&lt;"&amp;AC$8)-SUM($G$28:AC28)</f>
        <v>1827500</v>
      </c>
      <c r="AD91" s="109" t="n">
        <f aca="false">SUMIFS(Openings_Table[[Initial One-Time Fee]:[Initial One-Time Fee]],Openings_Table[[Opening Date]:[Opening Date]],"&lt;"&amp;AD$8)-SUM($G$28:AD28)</f>
        <v>2207083.33333333</v>
      </c>
      <c r="AE91" s="109" t="n">
        <f aca="false">SUMIFS(Openings_Table[[Initial One-Time Fee]:[Initial One-Time Fee]],Openings_Table[[Opening Date]:[Opening Date]],"&lt;"&amp;AE$8)-SUM($G$28:AE28)</f>
        <v>2186666.66666667</v>
      </c>
      <c r="AF91" s="109" t="n">
        <f aca="false">SUMIFS(Openings_Table[[Initial One-Time Fee]:[Initial One-Time Fee]],Openings_Table[[Opening Date]:[Opening Date]],"&lt;"&amp;AF$8)-SUM($G$28:AF28)</f>
        <v>2166250</v>
      </c>
      <c r="AG91" s="109" t="n">
        <f aca="false">SUMIFS(Openings_Table[[Initial One-Time Fee]:[Initial One-Time Fee]],Openings_Table[[Opening Date]:[Opening Date]],"&lt;"&amp;AG$8)-SUM($G$28:AG28)</f>
        <v>2542500</v>
      </c>
      <c r="AH91" s="109" t="n">
        <f aca="false">SUMIFS(Openings_Table[[Initial One-Time Fee]:[Initial One-Time Fee]],Openings_Table[[Opening Date]:[Opening Date]],"&lt;"&amp;AH$8)-SUM($G$28:AH28)</f>
        <v>2518750</v>
      </c>
      <c r="AI91" s="109" t="n">
        <f aca="false">SUMIFS(Openings_Table[[Initial One-Time Fee]:[Initial One-Time Fee]],Openings_Table[[Opening Date]:[Opening Date]],"&lt;"&amp;AI$8)-SUM($G$28:AI28)</f>
        <v>2495000</v>
      </c>
      <c r="AJ91" s="109" t="n">
        <f aca="false">SUMIFS(Openings_Table[[Initial One-Time Fee]:[Initial One-Time Fee]],Openings_Table[[Opening Date]:[Opening Date]],"&lt;"&amp;AJ$8)-SUM($G$28:AJ28)</f>
        <v>2867916.66666667</v>
      </c>
      <c r="AK91" s="109" t="n">
        <f aca="false">SUMIFS(Openings_Table[[Initial One-Time Fee]:[Initial One-Time Fee]],Openings_Table[[Opening Date]:[Opening Date]],"&lt;"&amp;AK$8)-SUM($G$28:AK28)</f>
        <v>2840833.33333333</v>
      </c>
      <c r="AL91" s="109" t="n">
        <f aca="false">SUMIFS(Openings_Table[[Initial One-Time Fee]:[Initial One-Time Fee]],Openings_Table[[Opening Date]:[Opening Date]],"&lt;"&amp;AL$8)-SUM($G$28:AL28)</f>
        <v>2813750</v>
      </c>
      <c r="AM91" s="109" t="n">
        <f aca="false">SUMIFS(Openings_Table[[Initial One-Time Fee]:[Initial One-Time Fee]],Openings_Table[[Opening Date]:[Opening Date]],"&lt;"&amp;AM$8)-SUM($G$28:AM28)</f>
        <v>2786666.66666667</v>
      </c>
      <c r="AN91" s="109" t="n">
        <f aca="false">SUMIFS(Openings_Table[[Initial One-Time Fee]:[Initial One-Time Fee]],Openings_Table[[Opening Date]:[Opening Date]],"&lt;"&amp;AN$8)-SUM($G$28:AN28)</f>
        <v>2759583.33333333</v>
      </c>
      <c r="AO91" s="109" t="n">
        <f aca="false">SUMIFS(Openings_Table[[Initial One-Time Fee]:[Initial One-Time Fee]],Openings_Table[[Opening Date]:[Opening Date]],"&lt;"&amp;AO$8)-SUM($G$28:AO28)</f>
        <v>2732500</v>
      </c>
      <c r="AP91" s="109" t="n">
        <f aca="false">SUMIFS(Openings_Table[[Initial One-Time Fee]:[Initial One-Time Fee]],Openings_Table[[Opening Date]:[Opening Date]],"&lt;"&amp;AP$8)-SUM($G$28:AP28)</f>
        <v>2705416.66666667</v>
      </c>
    </row>
    <row r="92" s="72" customFormat="true" ht="13.5" hidden="false" customHeight="false" outlineLevel="0" collapsed="false">
      <c r="B92" s="110"/>
      <c r="C92" s="110"/>
      <c r="D92" s="88"/>
    </row>
    <row r="93" s="72" customFormat="true" ht="13.5" hidden="false" customHeight="false" outlineLevel="0" collapsed="false">
      <c r="B93" s="107"/>
      <c r="C93" s="107"/>
      <c r="D93" s="88"/>
      <c r="F93" s="111" t="s">
        <v>65</v>
      </c>
      <c r="G93" s="89" t="n">
        <f aca="false">SUM(G91:G92)</f>
        <v>396666.666666667</v>
      </c>
      <c r="H93" s="89" t="n">
        <f aca="false">SUM(H91:H92)</f>
        <v>393333.333333333</v>
      </c>
      <c r="I93" s="89" t="n">
        <f aca="false">SUM(I91:I92)</f>
        <v>390000</v>
      </c>
      <c r="J93" s="89" t="n">
        <f aca="false">SUM(J91:J92)</f>
        <v>386666.666666667</v>
      </c>
      <c r="K93" s="89" t="n">
        <f aca="false">SUM(K91:K92)</f>
        <v>383333.333333333</v>
      </c>
      <c r="L93" s="89" t="n">
        <f aca="false">SUM(L91:L92)</f>
        <v>528750</v>
      </c>
      <c r="M93" s="89" t="n">
        <f aca="false">SUM(M91:M92)</f>
        <v>524166.666666667</v>
      </c>
      <c r="N93" s="89" t="n">
        <f aca="false">SUM(N91:N92)</f>
        <v>519583.333333333</v>
      </c>
      <c r="O93" s="89" t="n">
        <f aca="false">SUM(O91:O92)</f>
        <v>515000</v>
      </c>
      <c r="P93" s="89" t="n">
        <f aca="false">SUM(P91:P92)</f>
        <v>907083.333333333</v>
      </c>
      <c r="Q93" s="89" t="n">
        <f aca="false">SUM(Q91:Q92)</f>
        <v>1295833.33333333</v>
      </c>
      <c r="R93" s="89" t="n">
        <f aca="false">SUM(R91:R92)</f>
        <v>1284583.33333333</v>
      </c>
      <c r="S93" s="89" t="n">
        <f aca="false">SUM(S91:S92)</f>
        <v>1273333.33333333</v>
      </c>
      <c r="T93" s="89" t="n">
        <f aca="false">SUM(T91:T92)</f>
        <v>1262083.33333333</v>
      </c>
      <c r="U93" s="89" t="n">
        <f aca="false">SUM(U91:U92)</f>
        <v>1399583.33333333</v>
      </c>
      <c r="V93" s="89" t="n">
        <f aca="false">SUM(V91:V92)</f>
        <v>1387083.33333333</v>
      </c>
      <c r="W93" s="89" t="n">
        <f aca="false">SUM(W91:W92)</f>
        <v>1523333.33333333</v>
      </c>
      <c r="X93" s="89" t="n">
        <f aca="false">SUM(X91:X92)</f>
        <v>1509583.33333333</v>
      </c>
      <c r="Y93" s="89" t="n">
        <f aca="false">SUM(Y91:Y92)</f>
        <v>1495833.33333333</v>
      </c>
      <c r="Z93" s="89" t="n">
        <f aca="false">SUM(Z91:Z92)</f>
        <v>1878750</v>
      </c>
      <c r="AA93" s="89" t="n">
        <f aca="false">SUM(AA91:AA92)</f>
        <v>1861666.66666667</v>
      </c>
      <c r="AB93" s="89" t="n">
        <f aca="false">SUM(AB91:AB92)</f>
        <v>1844583.33333333</v>
      </c>
      <c r="AC93" s="89" t="n">
        <f aca="false">SUM(AC91:AC92)</f>
        <v>1827500</v>
      </c>
      <c r="AD93" s="89" t="n">
        <f aca="false">SUM(AD91:AD92)</f>
        <v>2207083.33333333</v>
      </c>
      <c r="AE93" s="89" t="n">
        <f aca="false">SUM(AE91:AE92)</f>
        <v>2186666.66666667</v>
      </c>
      <c r="AF93" s="89" t="n">
        <f aca="false">SUM(AF91:AF92)</f>
        <v>2166250</v>
      </c>
      <c r="AG93" s="89" t="n">
        <f aca="false">SUM(AG91:AG92)</f>
        <v>2542500</v>
      </c>
      <c r="AH93" s="89" t="n">
        <f aca="false">SUM(AH91:AH92)</f>
        <v>2518750</v>
      </c>
      <c r="AI93" s="89" t="n">
        <f aca="false">SUM(AI91:AI92)</f>
        <v>2495000</v>
      </c>
      <c r="AJ93" s="89" t="n">
        <f aca="false">SUM(AJ91:AJ92)</f>
        <v>2867916.66666667</v>
      </c>
      <c r="AK93" s="89" t="n">
        <f aca="false">SUM(AK91:AK92)</f>
        <v>2840833.33333333</v>
      </c>
      <c r="AL93" s="89" t="n">
        <f aca="false">SUM(AL91:AL92)</f>
        <v>2813750</v>
      </c>
      <c r="AM93" s="89" t="n">
        <f aca="false">SUM(AM91:AM92)</f>
        <v>2786666.66666667</v>
      </c>
      <c r="AN93" s="89" t="n">
        <f aca="false">SUM(AN91:AN92)</f>
        <v>2759583.33333333</v>
      </c>
      <c r="AO93" s="89" t="n">
        <f aca="false">SUM(AO91:AO92)</f>
        <v>2732500</v>
      </c>
      <c r="AP93" s="89" t="n">
        <f aca="false">SUM(AP91:AP92)</f>
        <v>2705416.66666667</v>
      </c>
    </row>
    <row r="94" s="72" customFormat="true" ht="13.5" hidden="false" customHeight="false" outlineLevel="0" collapsed="false">
      <c r="B94" s="107"/>
      <c r="C94" s="107"/>
      <c r="D94" s="88"/>
    </row>
    <row r="95" s="72" customFormat="true" ht="13.5" hidden="false" customHeight="false" outlineLevel="0" collapsed="false">
      <c r="B95" s="107"/>
      <c r="C95" s="107"/>
      <c r="D95" s="88"/>
      <c r="F95" s="111" t="s">
        <v>66</v>
      </c>
    </row>
    <row r="96" s="72" customFormat="true" ht="13.5" hidden="false" customHeight="false" outlineLevel="0" collapsed="false">
      <c r="B96" s="107"/>
      <c r="C96" s="107"/>
      <c r="D96" s="88"/>
      <c r="F96" s="112" t="s">
        <v>219</v>
      </c>
      <c r="G96" s="109" t="n">
        <f aca="false">$D$79</f>
        <v>500000</v>
      </c>
      <c r="H96" s="109" t="n">
        <f aca="false">$D$79</f>
        <v>500000</v>
      </c>
      <c r="I96" s="109" t="n">
        <f aca="false">$D$79</f>
        <v>500000</v>
      </c>
      <c r="J96" s="109" t="n">
        <f aca="false">$D$79</f>
        <v>500000</v>
      </c>
      <c r="K96" s="109" t="n">
        <f aca="false">$D$79</f>
        <v>500000</v>
      </c>
      <c r="L96" s="109" t="n">
        <f aca="false">$D$79</f>
        <v>500000</v>
      </c>
      <c r="M96" s="109" t="n">
        <f aca="false">$D$79</f>
        <v>500000</v>
      </c>
      <c r="N96" s="109" t="n">
        <f aca="false">$D$79</f>
        <v>500000</v>
      </c>
      <c r="O96" s="109" t="n">
        <f aca="false">$D$79</f>
        <v>500000</v>
      </c>
      <c r="P96" s="109" t="n">
        <f aca="false">$D$79</f>
        <v>500000</v>
      </c>
      <c r="Q96" s="109" t="n">
        <f aca="false">$D$79</f>
        <v>500000</v>
      </c>
      <c r="R96" s="109" t="n">
        <f aca="false">$D$79</f>
        <v>500000</v>
      </c>
      <c r="S96" s="109" t="n">
        <f aca="false">$D$79</f>
        <v>500000</v>
      </c>
      <c r="T96" s="109" t="n">
        <f aca="false">$D$79</f>
        <v>500000</v>
      </c>
      <c r="U96" s="109" t="n">
        <f aca="false">$D$79</f>
        <v>500000</v>
      </c>
      <c r="V96" s="109" t="n">
        <f aca="false">$D$79</f>
        <v>500000</v>
      </c>
      <c r="W96" s="109" t="n">
        <f aca="false">$D$79</f>
        <v>500000</v>
      </c>
      <c r="X96" s="109" t="n">
        <f aca="false">$D$79</f>
        <v>500000</v>
      </c>
      <c r="Y96" s="109" t="n">
        <f aca="false">$D$79</f>
        <v>500000</v>
      </c>
      <c r="Z96" s="109" t="n">
        <f aca="false">$D$79</f>
        <v>500000</v>
      </c>
      <c r="AA96" s="109" t="n">
        <f aca="false">$D$79</f>
        <v>500000</v>
      </c>
      <c r="AB96" s="109" t="n">
        <f aca="false">$D$79</f>
        <v>500000</v>
      </c>
      <c r="AC96" s="109" t="n">
        <f aca="false">$D$79</f>
        <v>500000</v>
      </c>
      <c r="AD96" s="109" t="n">
        <f aca="false">$D$79</f>
        <v>500000</v>
      </c>
      <c r="AE96" s="109" t="n">
        <f aca="false">$D$79</f>
        <v>500000</v>
      </c>
      <c r="AF96" s="109" t="n">
        <f aca="false">$D$79</f>
        <v>500000</v>
      </c>
      <c r="AG96" s="109" t="n">
        <f aca="false">$D$79</f>
        <v>500000</v>
      </c>
      <c r="AH96" s="109" t="n">
        <f aca="false">$D$79</f>
        <v>500000</v>
      </c>
      <c r="AI96" s="109" t="n">
        <f aca="false">$D$79</f>
        <v>500000</v>
      </c>
      <c r="AJ96" s="109" t="n">
        <f aca="false">$D$79</f>
        <v>500000</v>
      </c>
      <c r="AK96" s="109" t="n">
        <f aca="false">$D$79</f>
        <v>500000</v>
      </c>
      <c r="AL96" s="109" t="n">
        <f aca="false">$D$79</f>
        <v>500000</v>
      </c>
      <c r="AM96" s="109" t="n">
        <f aca="false">$D$79</f>
        <v>500000</v>
      </c>
      <c r="AN96" s="109" t="n">
        <f aca="false">$D$79</f>
        <v>500000</v>
      </c>
      <c r="AO96" s="109" t="n">
        <f aca="false">$D$79</f>
        <v>500000</v>
      </c>
      <c r="AP96" s="109" t="n">
        <f aca="false">$D$79</f>
        <v>500000</v>
      </c>
    </row>
    <row r="97" s="72" customFormat="true" ht="13.5" hidden="false" customHeight="false" outlineLevel="0" collapsed="false">
      <c r="B97" s="107"/>
      <c r="C97" s="107"/>
      <c r="D97" s="88"/>
      <c r="F97" s="113" t="s">
        <v>68</v>
      </c>
      <c r="G97" s="109" t="n">
        <f aca="false">G62</f>
        <v>-11850</v>
      </c>
      <c r="H97" s="109" t="n">
        <f aca="false">H62</f>
        <v>-11850</v>
      </c>
      <c r="I97" s="109" t="n">
        <f aca="false">I62</f>
        <v>-11850</v>
      </c>
      <c r="J97" s="109" t="n">
        <f aca="false">J62</f>
        <v>-11850</v>
      </c>
      <c r="K97" s="109" t="n">
        <f aca="false">K62</f>
        <v>-11850</v>
      </c>
      <c r="L97" s="109" t="n">
        <f aca="false">L62</f>
        <v>-5325</v>
      </c>
      <c r="M97" s="109" t="n">
        <f aca="false">M62</f>
        <v>-3325</v>
      </c>
      <c r="N97" s="109" t="n">
        <f aca="false">N62</f>
        <v>-3325</v>
      </c>
      <c r="O97" s="109" t="n">
        <f aca="false">O62</f>
        <v>-3325</v>
      </c>
      <c r="P97" s="109" t="n">
        <f aca="false">P62</f>
        <v>5241.66666666666</v>
      </c>
      <c r="Q97" s="109" t="n">
        <f aca="false">Q62</f>
        <v>16413.8892101333</v>
      </c>
      <c r="R97" s="109" t="n">
        <f aca="false">R62</f>
        <v>20018.0970545333</v>
      </c>
      <c r="S97" s="109" t="n">
        <f aca="false">S62</f>
        <v>19444.2927386933</v>
      </c>
      <c r="T97" s="109" t="n">
        <f aca="false">T62</f>
        <v>18023.6808647533</v>
      </c>
      <c r="U97" s="109" t="n">
        <f aca="false">U62</f>
        <v>24764.0283961733</v>
      </c>
      <c r="V97" s="109" t="n">
        <f aca="false">V62</f>
        <v>26333.3333333333</v>
      </c>
      <c r="W97" s="109" t="n">
        <f aca="false">W62</f>
        <v>32858.3333333333</v>
      </c>
      <c r="X97" s="109" t="n">
        <f aca="false">X62</f>
        <v>34858.3333333333</v>
      </c>
      <c r="Y97" s="109" t="n">
        <f aca="false">Y62</f>
        <v>34858.3333333333</v>
      </c>
      <c r="Z97" s="109" t="n">
        <f aca="false">Z62</f>
        <v>43425</v>
      </c>
      <c r="AA97" s="109" t="n">
        <f aca="false">AA62</f>
        <v>45425</v>
      </c>
      <c r="AB97" s="109" t="n">
        <f aca="false">AB62</f>
        <v>46071.04259426</v>
      </c>
      <c r="AC97" s="109" t="n">
        <f aca="false">AC62</f>
        <v>49312.62674664</v>
      </c>
      <c r="AD97" s="109" t="n">
        <f aca="false">AD62</f>
        <v>61968.0143014551</v>
      </c>
      <c r="AE97" s="109" t="n">
        <f aca="false">AE62</f>
        <v>62650.704542108</v>
      </c>
      <c r="AF97" s="109" t="n">
        <f aca="false">AF62</f>
        <v>58358.0168962093</v>
      </c>
      <c r="AG97" s="109" t="n">
        <f aca="false">AG62</f>
        <v>66924.6835628759</v>
      </c>
      <c r="AH97" s="109" t="n">
        <f aca="false">AH62</f>
        <v>66558.3333333333</v>
      </c>
      <c r="AI97" s="109" t="n">
        <f aca="false">AI62</f>
        <v>66558.3333333333</v>
      </c>
      <c r="AJ97" s="109" t="n">
        <f aca="false">AJ62</f>
        <v>75125</v>
      </c>
      <c r="AK97" s="109" t="n">
        <f aca="false">AK62</f>
        <v>77125</v>
      </c>
      <c r="AL97" s="109" t="n">
        <f aca="false">AL62</f>
        <v>77125</v>
      </c>
      <c r="AM97" s="109" t="n">
        <f aca="false">AM62</f>
        <v>77125</v>
      </c>
      <c r="AN97" s="109" t="n">
        <f aca="false">AN62</f>
        <v>79686.9852909219</v>
      </c>
      <c r="AO97" s="109" t="n">
        <f aca="false">AO62</f>
        <v>83784.0378754413</v>
      </c>
      <c r="AP97" s="109" t="n">
        <f aca="false">AP62</f>
        <v>88617.9260931075</v>
      </c>
    </row>
    <row r="98" s="72" customFormat="true" ht="13.5" hidden="false" customHeight="false" outlineLevel="0" collapsed="false">
      <c r="B98" s="107"/>
      <c r="C98" s="107"/>
      <c r="D98" s="88"/>
      <c r="F98" s="113" t="s">
        <v>69</v>
      </c>
      <c r="G98" s="109" t="n">
        <v>0</v>
      </c>
      <c r="H98" s="109" t="n">
        <f aca="false">G97+G98</f>
        <v>-11850</v>
      </c>
      <c r="I98" s="109" t="n">
        <f aca="false">H97+H98</f>
        <v>-23700</v>
      </c>
      <c r="J98" s="109" t="n">
        <f aca="false">I97+I98</f>
        <v>-35550</v>
      </c>
      <c r="K98" s="109" t="n">
        <f aca="false">J97+J98</f>
        <v>-47400</v>
      </c>
      <c r="L98" s="109" t="n">
        <f aca="false">K97+K98</f>
        <v>-59250</v>
      </c>
      <c r="M98" s="109" t="n">
        <f aca="false">L97+L98</f>
        <v>-64575</v>
      </c>
      <c r="N98" s="109" t="n">
        <f aca="false">M97+M98</f>
        <v>-67900</v>
      </c>
      <c r="O98" s="109" t="n">
        <f aca="false">N97+N98</f>
        <v>-71225</v>
      </c>
      <c r="P98" s="109" t="n">
        <f aca="false">O97+O98</f>
        <v>-74550</v>
      </c>
      <c r="Q98" s="109" t="n">
        <f aca="false">P97+P98</f>
        <v>-69308.3333333333</v>
      </c>
      <c r="R98" s="109" t="n">
        <f aca="false">Q97+Q98</f>
        <v>-52894.4441232</v>
      </c>
      <c r="S98" s="109" t="n">
        <f aca="false">R97+R98</f>
        <v>-32876.3470686667</v>
      </c>
      <c r="T98" s="109" t="n">
        <f aca="false">S97+S98</f>
        <v>-13432.0543299734</v>
      </c>
      <c r="U98" s="109" t="n">
        <f aca="false">T97+T98</f>
        <v>4591.62653477997</v>
      </c>
      <c r="V98" s="109" t="n">
        <f aca="false">U97+U98</f>
        <v>29355.6549309533</v>
      </c>
      <c r="W98" s="109" t="n">
        <f aca="false">V97+V98</f>
        <v>55688.9882642866</v>
      </c>
      <c r="X98" s="109" t="n">
        <f aca="false">W97+W98</f>
        <v>88547.32159762</v>
      </c>
      <c r="Y98" s="109" t="n">
        <f aca="false">X97+X98</f>
        <v>123405.654930953</v>
      </c>
      <c r="Z98" s="109" t="n">
        <f aca="false">Y97+Y98</f>
        <v>158263.988264287</v>
      </c>
      <c r="AA98" s="109" t="n">
        <f aca="false">Z97+Z98</f>
        <v>201688.988264287</v>
      </c>
      <c r="AB98" s="109" t="n">
        <f aca="false">AA97+AA98</f>
        <v>247113.988264287</v>
      </c>
      <c r="AC98" s="109" t="n">
        <f aca="false">AB97+AB98</f>
        <v>293185.030858547</v>
      </c>
      <c r="AD98" s="109" t="n">
        <f aca="false">AC97+AC98</f>
        <v>342497.657605187</v>
      </c>
      <c r="AE98" s="109" t="n">
        <f aca="false">AD97+AD98</f>
        <v>404465.671906642</v>
      </c>
      <c r="AF98" s="109" t="n">
        <f aca="false">AE97+AE98</f>
        <v>467116.37644875</v>
      </c>
      <c r="AG98" s="109" t="n">
        <f aca="false">AF97+AF98</f>
        <v>525474.393344959</v>
      </c>
      <c r="AH98" s="109" t="n">
        <f aca="false">AG97+AG98</f>
        <v>592399.076907835</v>
      </c>
      <c r="AI98" s="109" t="n">
        <f aca="false">AH97+AH98</f>
        <v>658957.410241168</v>
      </c>
      <c r="AJ98" s="109" t="n">
        <f aca="false">AI97+AI98</f>
        <v>725515.743574502</v>
      </c>
      <c r="AK98" s="109" t="n">
        <f aca="false">AJ97+AJ98</f>
        <v>800640.743574502</v>
      </c>
      <c r="AL98" s="109" t="n">
        <f aca="false">AK97+AK98</f>
        <v>877765.743574502</v>
      </c>
      <c r="AM98" s="109" t="n">
        <f aca="false">AL97+AL98</f>
        <v>954890.743574502</v>
      </c>
      <c r="AN98" s="109" t="n">
        <f aca="false">AM97+AM98</f>
        <v>1032015.7435745</v>
      </c>
      <c r="AO98" s="109" t="n">
        <f aca="false">AN97+AN98</f>
        <v>1111702.72886542</v>
      </c>
      <c r="AP98" s="109" t="n">
        <f aca="false">AO97+AO98</f>
        <v>1195486.76674086</v>
      </c>
    </row>
    <row r="99" s="72" customFormat="true" ht="13.5" hidden="false" customHeight="false" outlineLevel="0" collapsed="false">
      <c r="B99" s="107"/>
      <c r="C99" s="107"/>
      <c r="D99" s="88"/>
      <c r="F99" s="111" t="s">
        <v>70</v>
      </c>
      <c r="G99" s="89" t="n">
        <f aca="false">SUM(G96:G98)</f>
        <v>488150</v>
      </c>
      <c r="H99" s="89" t="n">
        <f aca="false">SUM(H96:H98)</f>
        <v>476300</v>
      </c>
      <c r="I99" s="89" t="n">
        <f aca="false">SUM(I96:I98)</f>
        <v>464450</v>
      </c>
      <c r="J99" s="89" t="n">
        <f aca="false">SUM(J96:J98)</f>
        <v>452600</v>
      </c>
      <c r="K99" s="89" t="n">
        <f aca="false">SUM(K96:K98)</f>
        <v>440750</v>
      </c>
      <c r="L99" s="89" t="n">
        <f aca="false">SUM(L96:L98)</f>
        <v>435425</v>
      </c>
      <c r="M99" s="89" t="n">
        <f aca="false">SUM(M96:M98)</f>
        <v>432100</v>
      </c>
      <c r="N99" s="89" t="n">
        <f aca="false">SUM(N96:N98)</f>
        <v>428775</v>
      </c>
      <c r="O99" s="89" t="n">
        <f aca="false">SUM(O96:O98)</f>
        <v>425450</v>
      </c>
      <c r="P99" s="89" t="n">
        <f aca="false">SUM(P96:P98)</f>
        <v>430691.666666667</v>
      </c>
      <c r="Q99" s="89" t="n">
        <f aca="false">SUM(Q96:Q98)</f>
        <v>447105.5558768</v>
      </c>
      <c r="R99" s="89" t="n">
        <f aca="false">SUM(R96:R98)</f>
        <v>467123.652931333</v>
      </c>
      <c r="S99" s="89" t="n">
        <f aca="false">SUM(S96:S98)</f>
        <v>486567.945670027</v>
      </c>
      <c r="T99" s="89" t="n">
        <f aca="false">SUM(T96:T98)</f>
        <v>504591.62653478</v>
      </c>
      <c r="U99" s="89" t="n">
        <f aca="false">SUM(U96:U98)</f>
        <v>529355.654930953</v>
      </c>
      <c r="V99" s="89" t="n">
        <f aca="false">SUM(V96:V98)</f>
        <v>555688.988264287</v>
      </c>
      <c r="W99" s="89" t="n">
        <f aca="false">SUM(W96:W98)</f>
        <v>588547.32159762</v>
      </c>
      <c r="X99" s="89" t="n">
        <f aca="false">SUM(X96:X98)</f>
        <v>623405.654930953</v>
      </c>
      <c r="Y99" s="89" t="n">
        <f aca="false">SUM(Y96:Y98)</f>
        <v>658263.988264287</v>
      </c>
      <c r="Z99" s="89" t="n">
        <f aca="false">SUM(Z96:Z98)</f>
        <v>701688.988264287</v>
      </c>
      <c r="AA99" s="89" t="n">
        <f aca="false">SUM(AA96:AA98)</f>
        <v>747113.988264287</v>
      </c>
      <c r="AB99" s="89" t="n">
        <f aca="false">SUM(AB96:AB98)</f>
        <v>793185.030858547</v>
      </c>
      <c r="AC99" s="89" t="n">
        <f aca="false">SUM(AC96:AC98)</f>
        <v>842497.657605187</v>
      </c>
      <c r="AD99" s="89" t="n">
        <f aca="false">SUM(AD96:AD98)</f>
        <v>904465.671906642</v>
      </c>
      <c r="AE99" s="89" t="n">
        <f aca="false">SUM(AE96:AE98)</f>
        <v>967116.37644875</v>
      </c>
      <c r="AF99" s="89" t="n">
        <f aca="false">SUM(AF96:AF98)</f>
        <v>1025474.39334496</v>
      </c>
      <c r="AG99" s="89" t="n">
        <f aca="false">SUM(AG96:AG98)</f>
        <v>1092399.07690784</v>
      </c>
      <c r="AH99" s="89" t="n">
        <f aca="false">SUM(AH96:AH98)</f>
        <v>1158957.41024117</v>
      </c>
      <c r="AI99" s="89" t="n">
        <f aca="false">SUM(AI96:AI98)</f>
        <v>1225515.7435745</v>
      </c>
      <c r="AJ99" s="89" t="n">
        <f aca="false">SUM(AJ96:AJ98)</f>
        <v>1300640.7435745</v>
      </c>
      <c r="AK99" s="89" t="n">
        <f aca="false">SUM(AK96:AK98)</f>
        <v>1377765.7435745</v>
      </c>
      <c r="AL99" s="89" t="n">
        <f aca="false">SUM(AL96:AL98)</f>
        <v>1454890.7435745</v>
      </c>
      <c r="AM99" s="89" t="n">
        <f aca="false">SUM(AM96:AM98)</f>
        <v>1532015.7435745</v>
      </c>
      <c r="AN99" s="89" t="n">
        <f aca="false">SUM(AN96:AN98)</f>
        <v>1611702.72886542</v>
      </c>
      <c r="AO99" s="89" t="n">
        <f aca="false">SUM(AO96:AO98)</f>
        <v>1695486.76674086</v>
      </c>
      <c r="AP99" s="89" t="n">
        <f aca="false">SUM(AP96:AP98)</f>
        <v>1784104.69283397</v>
      </c>
    </row>
    <row r="100" s="72" customFormat="true" ht="13.5" hidden="false" customHeight="false" outlineLevel="0" collapsed="false">
      <c r="B100" s="107"/>
      <c r="C100" s="107"/>
      <c r="D100" s="88"/>
    </row>
    <row r="101" s="72" customFormat="true" ht="13.5" hidden="false" customHeight="false" outlineLevel="0" collapsed="false">
      <c r="B101" s="107"/>
      <c r="C101" s="107"/>
      <c r="D101" s="88"/>
      <c r="F101" s="111" t="s">
        <v>71</v>
      </c>
      <c r="G101" s="89" t="n">
        <f aca="false">SUM(G99,G93)</f>
        <v>884816.666666667</v>
      </c>
      <c r="H101" s="89" t="n">
        <f aca="false">SUM(H99,H93)</f>
        <v>869633.333333333</v>
      </c>
      <c r="I101" s="89" t="n">
        <f aca="false">SUM(I99,I93)</f>
        <v>854450</v>
      </c>
      <c r="J101" s="89" t="n">
        <f aca="false">SUM(J99,J93)</f>
        <v>839266.666666667</v>
      </c>
      <c r="K101" s="89" t="n">
        <f aca="false">SUM(K99,K93)</f>
        <v>824083.333333333</v>
      </c>
      <c r="L101" s="89" t="n">
        <f aca="false">SUM(L99,L93)</f>
        <v>964175</v>
      </c>
      <c r="M101" s="89" t="n">
        <f aca="false">SUM(M99,M93)</f>
        <v>956266.666666667</v>
      </c>
      <c r="N101" s="89" t="n">
        <f aca="false">SUM(N99,N93)</f>
        <v>948358.333333333</v>
      </c>
      <c r="O101" s="89" t="n">
        <f aca="false">SUM(O99,O93)</f>
        <v>940450</v>
      </c>
      <c r="P101" s="89" t="n">
        <f aca="false">SUM(P99,P93)</f>
        <v>1337775</v>
      </c>
      <c r="Q101" s="89" t="n">
        <f aca="false">SUM(Q99,Q93)</f>
        <v>1742938.88921013</v>
      </c>
      <c r="R101" s="89" t="n">
        <f aca="false">SUM(R99,R93)</f>
        <v>1751706.98626467</v>
      </c>
      <c r="S101" s="89" t="n">
        <f aca="false">SUM(S99,S93)</f>
        <v>1759901.27900336</v>
      </c>
      <c r="T101" s="89" t="n">
        <f aca="false">SUM(T99,T93)</f>
        <v>1766674.95986811</v>
      </c>
      <c r="U101" s="89" t="n">
        <f aca="false">SUM(U99,U93)</f>
        <v>1928938.98826429</v>
      </c>
      <c r="V101" s="89" t="n">
        <f aca="false">SUM(V99,V93)</f>
        <v>1942772.32159762</v>
      </c>
      <c r="W101" s="89" t="n">
        <f aca="false">SUM(W99,W93)</f>
        <v>2111880.65493095</v>
      </c>
      <c r="X101" s="89" t="n">
        <f aca="false">SUM(X99,X93)</f>
        <v>2132988.98826429</v>
      </c>
      <c r="Y101" s="89" t="n">
        <f aca="false">SUM(Y99,Y93)</f>
        <v>2154097.32159762</v>
      </c>
      <c r="Z101" s="89" t="n">
        <f aca="false">SUM(Z99,Z93)</f>
        <v>2580438.98826429</v>
      </c>
      <c r="AA101" s="89" t="n">
        <f aca="false">SUM(AA99,AA93)</f>
        <v>2608780.65493095</v>
      </c>
      <c r="AB101" s="89" t="n">
        <f aca="false">SUM(AB99,AB93)</f>
        <v>2637768.36419188</v>
      </c>
      <c r="AC101" s="89" t="n">
        <f aca="false">SUM(AC99,AC93)</f>
        <v>2669997.65760519</v>
      </c>
      <c r="AD101" s="89" t="n">
        <f aca="false">SUM(AD99,AD93)</f>
        <v>3111549.00523998</v>
      </c>
      <c r="AE101" s="89" t="n">
        <f aca="false">SUM(AE99,AE93)</f>
        <v>3153783.04311542</v>
      </c>
      <c r="AF101" s="89" t="n">
        <f aca="false">SUM(AF99,AF93)</f>
        <v>3191724.39334496</v>
      </c>
      <c r="AG101" s="89" t="n">
        <f aca="false">SUM(AG99,AG93)</f>
        <v>3634899.07690784</v>
      </c>
      <c r="AH101" s="89" t="n">
        <f aca="false">SUM(AH99,AH93)</f>
        <v>3677707.41024117</v>
      </c>
      <c r="AI101" s="89" t="n">
        <f aca="false">SUM(AI99,AI93)</f>
        <v>3720515.7435745</v>
      </c>
      <c r="AJ101" s="89" t="n">
        <f aca="false">SUM(AJ99,AJ93)</f>
        <v>4168557.41024117</v>
      </c>
      <c r="AK101" s="89" t="n">
        <f aca="false">SUM(AK99,AK93)</f>
        <v>4218599.07690784</v>
      </c>
      <c r="AL101" s="89" t="n">
        <f aca="false">SUM(AL99,AL93)</f>
        <v>4268640.7435745</v>
      </c>
      <c r="AM101" s="89" t="n">
        <f aca="false">SUM(AM99,AM93)</f>
        <v>4318682.41024117</v>
      </c>
      <c r="AN101" s="89" t="n">
        <f aca="false">SUM(AN99,AN93)</f>
        <v>4371286.06219876</v>
      </c>
      <c r="AO101" s="89" t="n">
        <f aca="false">SUM(AO99,AO93)</f>
        <v>4427986.76674087</v>
      </c>
      <c r="AP101" s="89" t="n">
        <f aca="false">SUM(AP99,AP93)</f>
        <v>4489521.35950064</v>
      </c>
    </row>
    <row r="102" s="72" customFormat="true" ht="13.5" hidden="false" customHeight="false" outlineLevel="0" collapsed="false">
      <c r="B102" s="107"/>
      <c r="C102" s="107"/>
      <c r="D102" s="88"/>
    </row>
    <row r="103" customFormat="false" ht="13.5" hidden="false" customHeight="false" outlineLevel="0" collapsed="false">
      <c r="A103" s="114"/>
      <c r="B103" s="107"/>
      <c r="C103" s="107"/>
      <c r="D103" s="88"/>
      <c r="E103" s="114"/>
      <c r="F103" s="115"/>
      <c r="G103" s="116" t="n">
        <f aca="false">G101-G88</f>
        <v>0</v>
      </c>
      <c r="H103" s="116" t="n">
        <f aca="false">H101-H88</f>
        <v>0</v>
      </c>
      <c r="I103" s="116" t="n">
        <f aca="false">I101-I88</f>
        <v>0</v>
      </c>
      <c r="J103" s="116" t="n">
        <f aca="false">J101-J88</f>
        <v>0</v>
      </c>
      <c r="K103" s="116" t="n">
        <f aca="false">K101-K88</f>
        <v>0</v>
      </c>
      <c r="L103" s="116" t="n">
        <f aca="false">L101-L88</f>
        <v>0</v>
      </c>
      <c r="M103" s="116" t="n">
        <f aca="false">M101-M88</f>
        <v>0</v>
      </c>
      <c r="N103" s="116" t="n">
        <f aca="false">N101-N88</f>
        <v>0</v>
      </c>
      <c r="O103" s="116" t="n">
        <f aca="false">O101-O88</f>
        <v>0</v>
      </c>
      <c r="P103" s="116" t="n">
        <f aca="false">P101-P88</f>
        <v>0</v>
      </c>
      <c r="Q103" s="116" t="n">
        <f aca="false">Q101-Q88</f>
        <v>0</v>
      </c>
      <c r="R103" s="116" t="n">
        <f aca="false">R101-R88</f>
        <v>0</v>
      </c>
      <c r="S103" s="116" t="n">
        <f aca="false">S101-S88</f>
        <v>0</v>
      </c>
      <c r="T103" s="116" t="n">
        <f aca="false">T101-T88</f>
        <v>0</v>
      </c>
      <c r="U103" s="116" t="n">
        <f aca="false">U101-U88</f>
        <v>0</v>
      </c>
      <c r="V103" s="116" t="n">
        <f aca="false">V101-V88</f>
        <v>0</v>
      </c>
      <c r="W103" s="116" t="n">
        <f aca="false">W101-W88</f>
        <v>0</v>
      </c>
      <c r="X103" s="116" t="n">
        <f aca="false">X101-X88</f>
        <v>0</v>
      </c>
      <c r="Y103" s="116" t="n">
        <f aca="false">Y101-Y88</f>
        <v>0</v>
      </c>
      <c r="Z103" s="116" t="n">
        <f aca="false">Z101-Z88</f>
        <v>0</v>
      </c>
      <c r="AA103" s="116" t="n">
        <f aca="false">AA101-AA88</f>
        <v>0</v>
      </c>
      <c r="AB103" s="116" t="n">
        <f aca="false">AB101-AB88</f>
        <v>0</v>
      </c>
      <c r="AC103" s="116" t="n">
        <f aca="false">AC101-AC88</f>
        <v>0</v>
      </c>
      <c r="AD103" s="116" t="n">
        <f aca="false">AD101-AD88</f>
        <v>0</v>
      </c>
      <c r="AE103" s="116" t="n">
        <f aca="false">AE101-AE88</f>
        <v>0</v>
      </c>
      <c r="AF103" s="116" t="n">
        <f aca="false">AF101-AF88</f>
        <v>0</v>
      </c>
      <c r="AG103" s="116" t="n">
        <f aca="false">AG101-AG88</f>
        <v>0</v>
      </c>
      <c r="AH103" s="116" t="n">
        <f aca="false">AH101-AH88</f>
        <v>0</v>
      </c>
      <c r="AI103" s="116" t="n">
        <f aca="false">AI101-AI88</f>
        <v>0</v>
      </c>
      <c r="AJ103" s="116" t="n">
        <f aca="false">AJ101-AJ88</f>
        <v>0</v>
      </c>
      <c r="AK103" s="116" t="n">
        <f aca="false">AK101-AK88</f>
        <v>0</v>
      </c>
      <c r="AL103" s="116" t="n">
        <f aca="false">AL101-AL88</f>
        <v>0</v>
      </c>
      <c r="AM103" s="116" t="n">
        <f aca="false">AM101-AM88</f>
        <v>0</v>
      </c>
      <c r="AN103" s="116" t="n">
        <f aca="false">AN101-AN88</f>
        <v>0</v>
      </c>
      <c r="AO103" s="116" t="n">
        <f aca="false">AO101-AO88</f>
        <v>0</v>
      </c>
      <c r="AP103" s="116" t="n">
        <f aca="false">AP101-AP88</f>
        <v>0</v>
      </c>
    </row>
    <row r="104" s="72" customFormat="true" ht="13.5" hidden="false" customHeight="false" outlineLevel="0" collapsed="false">
      <c r="B104" s="107"/>
      <c r="C104" s="107"/>
      <c r="D104" s="88"/>
    </row>
    <row r="105" s="72" customFormat="true" ht="13.5" hidden="false" customHeight="false" outlineLevel="0" collapsed="false">
      <c r="B105" s="117"/>
      <c r="C105" s="117"/>
      <c r="D105" s="78"/>
    </row>
    <row r="106" s="72" customFormat="true" ht="13.5" hidden="false" customHeight="false" outlineLevel="0" collapsed="false">
      <c r="B106" s="117"/>
      <c r="C106" s="117"/>
      <c r="D106" s="78"/>
      <c r="F106" s="111" t="s">
        <v>220</v>
      </c>
    </row>
    <row r="107" s="72" customFormat="true" ht="13.5" hidden="false" customHeight="false" outlineLevel="0" collapsed="false">
      <c r="B107" s="117"/>
      <c r="C107" s="117"/>
      <c r="D107" s="78"/>
    </row>
    <row r="108" s="72" customFormat="true" ht="13.5" hidden="false" customHeight="false" outlineLevel="0" collapsed="false">
      <c r="B108" s="117"/>
      <c r="C108" s="117"/>
      <c r="D108" s="78"/>
    </row>
    <row r="109" s="72" customFormat="true" ht="13.5" hidden="false" customHeight="false" outlineLevel="0" collapsed="false">
      <c r="B109" s="117"/>
      <c r="C109" s="117"/>
      <c r="D109" s="78"/>
    </row>
    <row r="110" s="72" customFormat="true" ht="13.5" hidden="false" customHeight="false" outlineLevel="0" collapsed="false">
      <c r="B110" s="117"/>
      <c r="C110" s="117"/>
      <c r="D110" s="78"/>
      <c r="F110" s="69"/>
    </row>
    <row r="111" s="72" customFormat="true" ht="13.5" hidden="false" customHeight="false" outlineLevel="0" collapsed="false">
      <c r="B111" s="117"/>
      <c r="C111" s="117"/>
      <c r="D111" s="78"/>
      <c r="F111" s="69"/>
    </row>
    <row r="112" s="72" customFormat="true" ht="13.5" hidden="false" customHeight="false" outlineLevel="0" collapsed="false">
      <c r="B112" s="117"/>
      <c r="C112" s="117"/>
      <c r="D112" s="78"/>
      <c r="F112" s="69"/>
    </row>
    <row r="113" s="72" customFormat="true" ht="13.5" hidden="false" customHeight="false" outlineLevel="0" collapsed="false">
      <c r="B113" s="117"/>
      <c r="C113" s="117"/>
      <c r="D113" s="78"/>
      <c r="F113" s="118"/>
    </row>
    <row r="114" s="72" customFormat="true" ht="13.5" hidden="false" customHeight="false" outlineLevel="0" collapsed="false">
      <c r="B114" s="117"/>
      <c r="C114" s="117"/>
      <c r="D114" s="78"/>
      <c r="F114" s="118"/>
    </row>
    <row r="115" s="72" customFormat="true" ht="13.5" hidden="false" customHeight="false" outlineLevel="0" collapsed="false">
      <c r="B115" s="117"/>
      <c r="C115" s="117"/>
      <c r="D115" s="78"/>
    </row>
    <row r="116" s="72" customFormat="true" ht="13.5" hidden="false" customHeight="false" outlineLevel="0" collapsed="false">
      <c r="B116" s="117"/>
      <c r="C116" s="117"/>
      <c r="D116" s="78"/>
    </row>
    <row r="117" s="72" customFormat="true" ht="13.5" hidden="false" customHeight="false" outlineLevel="0" collapsed="false">
      <c r="B117" s="117"/>
      <c r="C117" s="117"/>
      <c r="D117" s="78"/>
    </row>
    <row r="118" s="72" customFormat="true" ht="13.5" hidden="false" customHeight="false" outlineLevel="0" collapsed="false">
      <c r="B118" s="117"/>
      <c r="C118" s="117"/>
      <c r="D118" s="78"/>
    </row>
    <row r="119" s="72" customFormat="true" ht="13.5" hidden="false" customHeight="false" outlineLevel="0" collapsed="false">
      <c r="B119" s="117"/>
      <c r="C119" s="117"/>
      <c r="D119" s="78"/>
    </row>
    <row r="120" s="72" customFormat="true" ht="13.5" hidden="false" customHeight="false" outlineLevel="0" collapsed="false">
      <c r="B120" s="117"/>
      <c r="C120" s="117"/>
      <c r="D120" s="78"/>
    </row>
    <row r="121" s="72" customFormat="true" ht="13.5" hidden="false" customHeight="false" outlineLevel="0" collapsed="false">
      <c r="B121" s="117"/>
      <c r="C121" s="117"/>
      <c r="D121" s="78"/>
    </row>
    <row r="122" s="72" customFormat="true" ht="13.5" hidden="false" customHeight="false" outlineLevel="0" collapsed="false">
      <c r="B122" s="117"/>
      <c r="C122" s="117"/>
      <c r="D122" s="78"/>
    </row>
    <row r="123" s="72" customFormat="true" ht="13.5" hidden="false" customHeight="false" outlineLevel="0" collapsed="false">
      <c r="B123" s="117"/>
      <c r="C123" s="117"/>
      <c r="D123" s="78"/>
    </row>
    <row r="124" s="72" customFormat="true" ht="13.5" hidden="false" customHeight="false" outlineLevel="0" collapsed="false">
      <c r="B124" s="117"/>
      <c r="C124" s="117"/>
      <c r="D124" s="78"/>
    </row>
    <row r="125" s="72" customFormat="true" ht="13.5" hidden="false" customHeight="false" outlineLevel="0" collapsed="false">
      <c r="B125" s="117"/>
      <c r="C125" s="117"/>
      <c r="D125" s="78"/>
    </row>
    <row r="126" s="72" customFormat="true" ht="13.5" hidden="false" customHeight="false" outlineLevel="0" collapsed="false">
      <c r="B126" s="117"/>
      <c r="C126" s="117"/>
      <c r="D126" s="78"/>
    </row>
    <row r="127" s="72" customFormat="true" ht="13.5" hidden="false" customHeight="false" outlineLevel="0" collapsed="false">
      <c r="B127" s="117"/>
      <c r="C127" s="117"/>
      <c r="D127" s="78"/>
    </row>
    <row r="128" s="72" customFormat="true" ht="13.5" hidden="false" customHeight="false" outlineLevel="0" collapsed="false">
      <c r="B128" s="117"/>
      <c r="C128" s="117"/>
      <c r="D128" s="78"/>
    </row>
    <row r="129" s="72" customFormat="true" ht="13.5" hidden="false" customHeight="false" outlineLevel="0" collapsed="false">
      <c r="B129" s="117"/>
      <c r="C129" s="117"/>
      <c r="D129" s="78"/>
    </row>
    <row r="130" s="72" customFormat="true" ht="13.5" hidden="false" customHeight="false" outlineLevel="0" collapsed="false">
      <c r="B130" s="117"/>
      <c r="C130" s="117"/>
      <c r="D130" s="78"/>
    </row>
    <row r="131" s="72" customFormat="true" ht="13.5" hidden="false" customHeight="false" outlineLevel="0" collapsed="false">
      <c r="B131" s="117"/>
      <c r="C131" s="117"/>
      <c r="D131" s="78"/>
    </row>
    <row r="132" s="72" customFormat="true" ht="13.5" hidden="false" customHeight="false" outlineLevel="0" collapsed="false">
      <c r="B132" s="117"/>
      <c r="C132" s="117"/>
      <c r="D132" s="78"/>
    </row>
    <row r="133" s="72" customFormat="true" ht="13.5" hidden="false" customHeight="false" outlineLevel="0" collapsed="false">
      <c r="B133" s="117"/>
      <c r="C133" s="117"/>
      <c r="D133" s="78"/>
    </row>
    <row r="134" s="72" customFormat="true" ht="13.5" hidden="false" customHeight="false" outlineLevel="0" collapsed="false">
      <c r="B134" s="117"/>
      <c r="C134" s="117"/>
      <c r="D134" s="78"/>
    </row>
    <row r="135" s="72" customFormat="true" ht="13.5" hidden="false" customHeight="false" outlineLevel="0" collapsed="false">
      <c r="B135" s="117"/>
      <c r="C135" s="117"/>
      <c r="D135" s="78"/>
    </row>
    <row r="136" s="72" customFormat="true" ht="13.5" hidden="false" customHeight="false" outlineLevel="0" collapsed="false">
      <c r="B136" s="117"/>
      <c r="C136" s="117"/>
      <c r="D136" s="78"/>
    </row>
    <row r="137" s="72" customFormat="true" ht="13.5" hidden="false" customHeight="false" outlineLevel="0" collapsed="false">
      <c r="B137" s="117"/>
      <c r="C137" s="117"/>
      <c r="D137" s="78"/>
    </row>
    <row r="138" s="72" customFormat="true" ht="13.5" hidden="false" customHeight="false" outlineLevel="0" collapsed="false">
      <c r="B138" s="117"/>
      <c r="C138" s="117"/>
      <c r="D138" s="78"/>
    </row>
    <row r="139" s="72" customFormat="true" ht="13.5" hidden="false" customHeight="false" outlineLevel="0" collapsed="false">
      <c r="B139" s="117"/>
      <c r="C139" s="117"/>
      <c r="D139" s="78"/>
    </row>
    <row r="140" s="72" customFormat="true" ht="13.5" hidden="false" customHeight="false" outlineLevel="0" collapsed="false">
      <c r="B140" s="117"/>
      <c r="C140" s="117"/>
      <c r="D140" s="78"/>
    </row>
    <row r="141" s="72" customFormat="true" ht="13.5" hidden="false" customHeight="false" outlineLevel="0" collapsed="false">
      <c r="B141" s="117"/>
      <c r="C141" s="117"/>
      <c r="D141" s="78"/>
    </row>
    <row r="142" s="72" customFormat="true" ht="13.5" hidden="false" customHeight="false" outlineLevel="0" collapsed="false">
      <c r="B142" s="117"/>
      <c r="C142" s="117"/>
      <c r="D142" s="78"/>
    </row>
    <row r="143" s="72" customFormat="true" ht="13.5" hidden="false" customHeight="false" outlineLevel="0" collapsed="false">
      <c r="B143" s="117"/>
      <c r="C143" s="117"/>
      <c r="D143" s="78"/>
    </row>
    <row r="144" s="72" customFormat="true" ht="13.5" hidden="false" customHeight="false" outlineLevel="0" collapsed="false">
      <c r="B144" s="117"/>
      <c r="C144" s="117"/>
      <c r="D144" s="78"/>
    </row>
    <row r="145" s="72" customFormat="true" ht="13.5" hidden="false" customHeight="false" outlineLevel="0" collapsed="false">
      <c r="B145" s="117"/>
      <c r="C145" s="117"/>
      <c r="D145" s="78"/>
    </row>
    <row r="146" s="72" customFormat="true" ht="13.5" hidden="false" customHeight="false" outlineLevel="0" collapsed="false">
      <c r="B146" s="117"/>
      <c r="C146" s="117"/>
      <c r="D146" s="78"/>
    </row>
    <row r="147" s="72" customFormat="true" ht="13.5" hidden="false" customHeight="false" outlineLevel="0" collapsed="false">
      <c r="B147" s="117"/>
      <c r="C147" s="117"/>
      <c r="D147" s="78"/>
    </row>
    <row r="148" s="72" customFormat="true" ht="13.5" hidden="false" customHeight="false" outlineLevel="0" collapsed="false">
      <c r="B148" s="117"/>
      <c r="C148" s="117"/>
      <c r="D148" s="78"/>
    </row>
    <row r="149" s="72" customFormat="true" ht="13.5" hidden="false" customHeight="false" outlineLevel="0" collapsed="false">
      <c r="B149" s="117"/>
      <c r="C149" s="117"/>
      <c r="D149" s="78"/>
    </row>
    <row r="150" s="72" customFormat="true" ht="13.5" hidden="false" customHeight="false" outlineLevel="0" collapsed="false">
      <c r="B150" s="117"/>
      <c r="C150" s="117"/>
      <c r="D150" s="78"/>
    </row>
    <row r="151" s="72" customFormat="true" ht="13.5" hidden="false" customHeight="false" outlineLevel="0" collapsed="false">
      <c r="B151" s="117"/>
      <c r="C151" s="117"/>
      <c r="D151" s="78"/>
    </row>
    <row r="152" s="72" customFormat="true" ht="13.5" hidden="false" customHeight="false" outlineLevel="0" collapsed="false">
      <c r="B152" s="117"/>
      <c r="C152" s="117"/>
      <c r="D152" s="78"/>
    </row>
    <row r="153" s="72" customFormat="true" ht="13.5" hidden="false" customHeight="false" outlineLevel="0" collapsed="false">
      <c r="B153" s="117"/>
      <c r="C153" s="117"/>
      <c r="D153" s="78"/>
    </row>
    <row r="154" s="72" customFormat="true" ht="13.5" hidden="false" customHeight="false" outlineLevel="0" collapsed="false">
      <c r="B154" s="117"/>
      <c r="C154" s="117"/>
      <c r="D154" s="78"/>
    </row>
    <row r="155" s="72" customFormat="true" ht="13.5" hidden="false" customHeight="false" outlineLevel="0" collapsed="false">
      <c r="B155" s="117"/>
      <c r="C155" s="117"/>
      <c r="D155" s="78"/>
    </row>
    <row r="156" s="72" customFormat="true" ht="13.5" hidden="false" customHeight="false" outlineLevel="0" collapsed="false">
      <c r="B156" s="117"/>
      <c r="C156" s="117"/>
      <c r="D156" s="78"/>
    </row>
    <row r="157" s="72" customFormat="true" ht="13.5" hidden="false" customHeight="false" outlineLevel="0" collapsed="false">
      <c r="B157" s="117"/>
      <c r="C157" s="117"/>
      <c r="D157" s="78"/>
    </row>
    <row r="158" s="72" customFormat="true" ht="13.5" hidden="false" customHeight="false" outlineLevel="0" collapsed="false">
      <c r="B158" s="117"/>
      <c r="C158" s="117"/>
      <c r="D158" s="78"/>
    </row>
    <row r="159" s="72" customFormat="true" ht="13.5" hidden="false" customHeight="false" outlineLevel="0" collapsed="false">
      <c r="B159" s="117"/>
      <c r="C159" s="117"/>
      <c r="D159" s="78"/>
    </row>
    <row r="160" s="72" customFormat="true" ht="13.5" hidden="false" customHeight="false" outlineLevel="0" collapsed="false">
      <c r="B160" s="117"/>
      <c r="C160" s="117"/>
      <c r="D160" s="78"/>
    </row>
    <row r="161" s="72" customFormat="true" ht="13.5" hidden="false" customHeight="false" outlineLevel="0" collapsed="false">
      <c r="B161" s="117"/>
      <c r="C161" s="117"/>
      <c r="D161" s="78"/>
    </row>
    <row r="162" s="72" customFormat="true" ht="13.5" hidden="false" customHeight="false" outlineLevel="0" collapsed="false">
      <c r="B162" s="117"/>
      <c r="C162" s="117"/>
      <c r="D162" s="78"/>
    </row>
    <row r="163" s="72" customFormat="true" ht="13.5" hidden="false" customHeight="false" outlineLevel="0" collapsed="false">
      <c r="B163" s="117"/>
      <c r="C163" s="117"/>
      <c r="D163" s="78"/>
    </row>
    <row r="164" s="72" customFormat="true" ht="13.5" hidden="false" customHeight="false" outlineLevel="0" collapsed="false">
      <c r="B164" s="117"/>
      <c r="C164" s="117"/>
      <c r="D164" s="78"/>
    </row>
    <row r="165" s="72" customFormat="true" ht="13.5" hidden="false" customHeight="false" outlineLevel="0" collapsed="false">
      <c r="B165" s="117"/>
      <c r="C165" s="117"/>
      <c r="D165" s="78"/>
    </row>
    <row r="166" s="72" customFormat="true" ht="13.5" hidden="false" customHeight="false" outlineLevel="0" collapsed="false">
      <c r="B166" s="117"/>
      <c r="C166" s="117"/>
      <c r="D166" s="78"/>
    </row>
    <row r="167" s="72" customFormat="true" ht="13.5" hidden="false" customHeight="false" outlineLevel="0" collapsed="false">
      <c r="B167" s="117"/>
      <c r="C167" s="117"/>
      <c r="D167" s="78"/>
    </row>
    <row r="168" s="72" customFormat="true" ht="13.5" hidden="false" customHeight="false" outlineLevel="0" collapsed="false">
      <c r="B168" s="117"/>
      <c r="C168" s="117"/>
      <c r="D168" s="78"/>
    </row>
    <row r="169" s="72" customFormat="true" ht="13.5" hidden="false" customHeight="false" outlineLevel="0" collapsed="false">
      <c r="B169" s="117"/>
      <c r="C169" s="117"/>
      <c r="D169" s="78"/>
    </row>
    <row r="170" s="72" customFormat="true" ht="13.5" hidden="false" customHeight="false" outlineLevel="0" collapsed="false">
      <c r="B170" s="117"/>
      <c r="C170" s="117"/>
      <c r="D170" s="78"/>
    </row>
    <row r="171" s="72" customFormat="true" ht="13.5" hidden="false" customHeight="false" outlineLevel="0" collapsed="false">
      <c r="B171" s="117"/>
      <c r="C171" s="117"/>
      <c r="D171" s="78"/>
    </row>
    <row r="172" s="72" customFormat="true" ht="13.5" hidden="false" customHeight="false" outlineLevel="0" collapsed="false">
      <c r="B172" s="117"/>
      <c r="C172" s="117"/>
      <c r="D172" s="78"/>
    </row>
    <row r="173" s="72" customFormat="true" ht="13.5" hidden="false" customHeight="false" outlineLevel="0" collapsed="false">
      <c r="B173" s="117"/>
      <c r="C173" s="117"/>
      <c r="D173" s="78"/>
    </row>
    <row r="174" s="72" customFormat="true" ht="13.5" hidden="false" customHeight="false" outlineLevel="0" collapsed="false">
      <c r="B174" s="117"/>
      <c r="C174" s="117"/>
      <c r="D174" s="78"/>
    </row>
    <row r="175" s="72" customFormat="true" ht="13.5" hidden="false" customHeight="false" outlineLevel="0" collapsed="false">
      <c r="B175" s="117"/>
      <c r="C175" s="117"/>
      <c r="D175" s="78"/>
    </row>
    <row r="176" s="72" customFormat="true" ht="13.5" hidden="false" customHeight="false" outlineLevel="0" collapsed="false">
      <c r="B176" s="117"/>
      <c r="C176" s="117"/>
      <c r="D176" s="78"/>
    </row>
    <row r="177" s="72" customFormat="true" ht="13.5" hidden="false" customHeight="false" outlineLevel="0" collapsed="false">
      <c r="B177" s="117"/>
      <c r="C177" s="117"/>
      <c r="D177" s="78"/>
    </row>
    <row r="178" s="72" customFormat="true" ht="13.5" hidden="false" customHeight="false" outlineLevel="0" collapsed="false">
      <c r="B178" s="117"/>
      <c r="C178" s="117"/>
      <c r="D178" s="78"/>
    </row>
    <row r="179" s="72" customFormat="true" ht="13.5" hidden="false" customHeight="false" outlineLevel="0" collapsed="false">
      <c r="B179" s="117"/>
      <c r="C179" s="117"/>
      <c r="D179" s="78"/>
    </row>
    <row r="180" s="72" customFormat="true" ht="13.5" hidden="false" customHeight="false" outlineLevel="0" collapsed="false">
      <c r="B180" s="117"/>
      <c r="C180" s="117"/>
      <c r="D180" s="78"/>
    </row>
    <row r="181" s="72" customFormat="true" ht="13.5" hidden="false" customHeight="false" outlineLevel="0" collapsed="false">
      <c r="B181" s="117"/>
      <c r="C181" s="117"/>
      <c r="D181" s="78"/>
    </row>
    <row r="182" s="72" customFormat="true" ht="13.5" hidden="false" customHeight="false" outlineLevel="0" collapsed="false">
      <c r="B182" s="117"/>
      <c r="C182" s="117"/>
      <c r="D182" s="78"/>
    </row>
    <row r="183" s="72" customFormat="true" ht="13.5" hidden="false" customHeight="false" outlineLevel="0" collapsed="false">
      <c r="B183" s="117"/>
      <c r="C183" s="117"/>
      <c r="D183" s="78"/>
    </row>
    <row r="184" s="72" customFormat="true" ht="13.5" hidden="false" customHeight="false" outlineLevel="0" collapsed="false">
      <c r="B184" s="117"/>
      <c r="C184" s="117"/>
      <c r="D184" s="78"/>
    </row>
    <row r="185" s="72" customFormat="true" ht="13.5" hidden="false" customHeight="false" outlineLevel="0" collapsed="false">
      <c r="B185" s="117"/>
      <c r="C185" s="117"/>
      <c r="D185" s="78"/>
    </row>
    <row r="186" s="72" customFormat="true" ht="13.5" hidden="false" customHeight="false" outlineLevel="0" collapsed="false">
      <c r="B186" s="117"/>
      <c r="C186" s="117"/>
      <c r="D186" s="78"/>
    </row>
    <row r="187" s="72" customFormat="true" ht="13.5" hidden="false" customHeight="false" outlineLevel="0" collapsed="false">
      <c r="B187" s="117"/>
      <c r="C187" s="117"/>
      <c r="D187" s="78"/>
    </row>
    <row r="188" s="72" customFormat="true" ht="13.5" hidden="false" customHeight="false" outlineLevel="0" collapsed="false">
      <c r="B188" s="117"/>
      <c r="C188" s="117"/>
      <c r="D188" s="78"/>
    </row>
    <row r="189" s="72" customFormat="true" ht="13.5" hidden="false" customHeight="false" outlineLevel="0" collapsed="false">
      <c r="B189" s="117"/>
      <c r="C189" s="117"/>
      <c r="D189" s="78"/>
    </row>
    <row r="190" s="72" customFormat="true" ht="13.5" hidden="false" customHeight="false" outlineLevel="0" collapsed="false">
      <c r="B190" s="117"/>
      <c r="C190" s="117"/>
      <c r="D190" s="78"/>
    </row>
    <row r="191" s="72" customFormat="true" ht="13.5" hidden="false" customHeight="false" outlineLevel="0" collapsed="false">
      <c r="B191" s="117"/>
      <c r="C191" s="117"/>
      <c r="D191" s="78"/>
    </row>
    <row r="192" s="72" customFormat="true" ht="13.5" hidden="false" customHeight="false" outlineLevel="0" collapsed="false">
      <c r="B192" s="117"/>
      <c r="C192" s="117"/>
      <c r="D192" s="78"/>
    </row>
    <row r="193" s="72" customFormat="true" ht="13.5" hidden="false" customHeight="false" outlineLevel="0" collapsed="false">
      <c r="B193" s="117"/>
      <c r="C193" s="117"/>
      <c r="D193" s="78"/>
    </row>
    <row r="194" s="72" customFormat="true" ht="13.5" hidden="false" customHeight="false" outlineLevel="0" collapsed="false">
      <c r="B194" s="117"/>
      <c r="C194" s="117"/>
      <c r="D194" s="78"/>
    </row>
    <row r="195" s="72" customFormat="true" ht="13.5" hidden="false" customHeight="false" outlineLevel="0" collapsed="false">
      <c r="B195" s="117"/>
      <c r="C195" s="117"/>
      <c r="D195" s="78"/>
    </row>
    <row r="196" s="72" customFormat="true" ht="13.5" hidden="false" customHeight="false" outlineLevel="0" collapsed="false">
      <c r="B196" s="117"/>
      <c r="C196" s="117"/>
      <c r="D196" s="78"/>
    </row>
    <row r="197" s="72" customFormat="true" ht="13.5" hidden="false" customHeight="false" outlineLevel="0" collapsed="false">
      <c r="B197" s="117"/>
      <c r="C197" s="117"/>
      <c r="D197" s="78"/>
    </row>
    <row r="198" s="72" customFormat="true" ht="13.5" hidden="false" customHeight="false" outlineLevel="0" collapsed="false">
      <c r="B198" s="117"/>
      <c r="C198" s="117"/>
      <c r="D198" s="78"/>
    </row>
    <row r="199" s="72" customFormat="true" ht="13.5" hidden="false" customHeight="false" outlineLevel="0" collapsed="false">
      <c r="B199" s="117"/>
      <c r="C199" s="117"/>
      <c r="D199" s="78"/>
    </row>
    <row r="200" s="72" customFormat="true" ht="13.5" hidden="false" customHeight="false" outlineLevel="0" collapsed="false">
      <c r="B200" s="117"/>
      <c r="C200" s="117"/>
      <c r="D200" s="78"/>
    </row>
    <row r="201" s="72" customFormat="true" ht="13.5" hidden="false" customHeight="false" outlineLevel="0" collapsed="false">
      <c r="B201" s="117"/>
      <c r="C201" s="117"/>
      <c r="D201" s="78"/>
    </row>
    <row r="202" s="72" customFormat="true" ht="13.5" hidden="false" customHeight="false" outlineLevel="0" collapsed="false">
      <c r="B202" s="117"/>
      <c r="C202" s="117"/>
      <c r="D202" s="78"/>
    </row>
    <row r="203" s="72" customFormat="true" ht="13.5" hidden="false" customHeight="false" outlineLevel="0" collapsed="false">
      <c r="B203" s="117"/>
      <c r="C203" s="117"/>
      <c r="D203" s="78"/>
    </row>
    <row r="204" s="72" customFormat="true" ht="13.5" hidden="false" customHeight="false" outlineLevel="0" collapsed="false">
      <c r="B204" s="117"/>
      <c r="C204" s="117"/>
      <c r="D204" s="78"/>
    </row>
    <row r="205" s="72" customFormat="true" ht="13.5" hidden="false" customHeight="false" outlineLevel="0" collapsed="false">
      <c r="B205" s="117"/>
      <c r="C205" s="117"/>
      <c r="D205" s="78"/>
    </row>
    <row r="206" s="72" customFormat="true" ht="13.5" hidden="false" customHeight="false" outlineLevel="0" collapsed="false">
      <c r="B206" s="117"/>
      <c r="C206" s="117"/>
      <c r="D206" s="78"/>
    </row>
    <row r="207" s="72" customFormat="true" ht="13.5" hidden="false" customHeight="false" outlineLevel="0" collapsed="false">
      <c r="B207" s="117"/>
      <c r="C207" s="117"/>
      <c r="D207" s="78"/>
    </row>
    <row r="208" s="72" customFormat="true" ht="13.5" hidden="false" customHeight="false" outlineLevel="0" collapsed="false">
      <c r="B208" s="117"/>
      <c r="C208" s="117"/>
      <c r="D208" s="78"/>
    </row>
    <row r="209" s="72" customFormat="true" ht="13.5" hidden="false" customHeight="false" outlineLevel="0" collapsed="false">
      <c r="B209" s="117"/>
      <c r="C209" s="117"/>
      <c r="D209" s="78"/>
    </row>
    <row r="210" s="72" customFormat="true" ht="13.5" hidden="false" customHeight="false" outlineLevel="0" collapsed="false">
      <c r="B210" s="117"/>
      <c r="C210" s="117"/>
      <c r="D210" s="78"/>
    </row>
    <row r="211" s="72" customFormat="true" ht="13.5" hidden="false" customHeight="false" outlineLevel="0" collapsed="false">
      <c r="B211" s="117"/>
      <c r="C211" s="117"/>
      <c r="D211" s="78"/>
    </row>
    <row r="212" s="72" customFormat="true" ht="13.5" hidden="false" customHeight="false" outlineLevel="0" collapsed="false">
      <c r="B212" s="117"/>
      <c r="C212" s="117"/>
      <c r="D212" s="78"/>
    </row>
    <row r="213" s="72" customFormat="true" ht="13.5" hidden="false" customHeight="false" outlineLevel="0" collapsed="false">
      <c r="B213" s="117"/>
      <c r="C213" s="117"/>
      <c r="D213" s="78"/>
    </row>
    <row r="214" s="72" customFormat="true" ht="13.5" hidden="false" customHeight="false" outlineLevel="0" collapsed="false">
      <c r="B214" s="117"/>
      <c r="C214" s="117"/>
      <c r="D214" s="78"/>
    </row>
    <row r="215" s="72" customFormat="true" ht="13.5" hidden="false" customHeight="false" outlineLevel="0" collapsed="false">
      <c r="B215" s="117"/>
      <c r="C215" s="117"/>
      <c r="D215" s="78"/>
    </row>
    <row r="216" s="72" customFormat="true" ht="13.5" hidden="false" customHeight="false" outlineLevel="0" collapsed="false">
      <c r="B216" s="117"/>
      <c r="C216" s="117"/>
      <c r="D216" s="78"/>
    </row>
    <row r="217" s="72" customFormat="true" ht="13.5" hidden="false" customHeight="false" outlineLevel="0" collapsed="false">
      <c r="B217" s="117"/>
      <c r="C217" s="117"/>
      <c r="D217" s="78"/>
    </row>
    <row r="218" s="72" customFormat="true" ht="13.5" hidden="false" customHeight="false" outlineLevel="0" collapsed="false">
      <c r="B218" s="117"/>
      <c r="C218" s="117"/>
      <c r="D218" s="78"/>
    </row>
    <row r="219" s="72" customFormat="true" ht="13.5" hidden="false" customHeight="false" outlineLevel="0" collapsed="false">
      <c r="B219" s="117"/>
      <c r="C219" s="117"/>
      <c r="D219" s="78"/>
    </row>
    <row r="220" s="72" customFormat="true" ht="13.5" hidden="false" customHeight="false" outlineLevel="0" collapsed="false">
      <c r="B220" s="117"/>
      <c r="C220" s="117"/>
      <c r="D220" s="78"/>
    </row>
    <row r="221" s="72" customFormat="true" ht="13.5" hidden="false" customHeight="false" outlineLevel="0" collapsed="false">
      <c r="B221" s="117"/>
      <c r="C221" s="117"/>
      <c r="D221" s="78"/>
    </row>
    <row r="222" s="72" customFormat="true" ht="13.5" hidden="false" customHeight="false" outlineLevel="0" collapsed="false">
      <c r="B222" s="117"/>
      <c r="C222" s="117"/>
      <c r="D222" s="78"/>
    </row>
    <row r="223" s="72" customFormat="true" ht="13.5" hidden="false" customHeight="false" outlineLevel="0" collapsed="false">
      <c r="B223" s="117"/>
      <c r="C223" s="117"/>
      <c r="D223" s="78"/>
    </row>
    <row r="224" s="72" customFormat="true" ht="13.5" hidden="false" customHeight="false" outlineLevel="0" collapsed="false">
      <c r="B224" s="117"/>
      <c r="C224" s="117"/>
      <c r="D224" s="78"/>
    </row>
    <row r="225" s="72" customFormat="true" ht="13.5" hidden="false" customHeight="false" outlineLevel="0" collapsed="false">
      <c r="B225" s="117"/>
      <c r="C225" s="117"/>
      <c r="D225" s="78"/>
    </row>
    <row r="226" s="72" customFormat="true" ht="13.5" hidden="false" customHeight="false" outlineLevel="0" collapsed="false">
      <c r="B226" s="117"/>
      <c r="C226" s="117"/>
      <c r="D226" s="78"/>
    </row>
    <row r="227" s="72" customFormat="true" ht="13.5" hidden="false" customHeight="false" outlineLevel="0" collapsed="false">
      <c r="B227" s="117"/>
      <c r="C227" s="117"/>
      <c r="D227" s="78"/>
    </row>
    <row r="228" s="72" customFormat="true" ht="13.5" hidden="false" customHeight="false" outlineLevel="0" collapsed="false">
      <c r="B228" s="117"/>
      <c r="C228" s="117"/>
      <c r="D228" s="78"/>
    </row>
    <row r="229" s="72" customFormat="true" ht="13.5" hidden="false" customHeight="false" outlineLevel="0" collapsed="false">
      <c r="B229" s="117"/>
      <c r="C229" s="117"/>
      <c r="D229" s="78"/>
    </row>
    <row r="230" s="72" customFormat="true" ht="13.5" hidden="false" customHeight="false" outlineLevel="0" collapsed="false">
      <c r="B230" s="117"/>
      <c r="C230" s="117"/>
      <c r="D230" s="78"/>
    </row>
    <row r="231" s="72" customFormat="true" ht="13.5" hidden="false" customHeight="false" outlineLevel="0" collapsed="false">
      <c r="B231" s="117"/>
      <c r="C231" s="117"/>
      <c r="D231" s="78"/>
    </row>
    <row r="232" s="72" customFormat="true" ht="13.5" hidden="false" customHeight="false" outlineLevel="0" collapsed="false">
      <c r="B232" s="117"/>
      <c r="C232" s="117"/>
      <c r="D232" s="78"/>
    </row>
    <row r="233" s="72" customFormat="true" ht="13.5" hidden="false" customHeight="false" outlineLevel="0" collapsed="false">
      <c r="B233" s="117"/>
      <c r="C233" s="117"/>
      <c r="D233" s="78"/>
    </row>
    <row r="234" s="72" customFormat="true" ht="13.5" hidden="false" customHeight="false" outlineLevel="0" collapsed="false">
      <c r="B234" s="117"/>
      <c r="C234" s="117"/>
      <c r="D234" s="78"/>
    </row>
    <row r="235" s="72" customFormat="true" ht="13.5" hidden="false" customHeight="false" outlineLevel="0" collapsed="false">
      <c r="B235" s="117"/>
      <c r="C235" s="117"/>
      <c r="D235" s="78"/>
    </row>
    <row r="236" s="72" customFormat="true" ht="13.5" hidden="false" customHeight="false" outlineLevel="0" collapsed="false">
      <c r="B236" s="117"/>
      <c r="C236" s="117"/>
      <c r="D236" s="78"/>
    </row>
    <row r="237" s="72" customFormat="true" ht="13.5" hidden="false" customHeight="false" outlineLevel="0" collapsed="false">
      <c r="B237" s="117"/>
      <c r="C237" s="117"/>
      <c r="D237" s="78"/>
    </row>
    <row r="238" s="72" customFormat="true" ht="13.5" hidden="false" customHeight="false" outlineLevel="0" collapsed="false">
      <c r="B238" s="117"/>
      <c r="C238" s="117"/>
      <c r="D238" s="78"/>
    </row>
    <row r="239" s="72" customFormat="true" ht="13.5" hidden="false" customHeight="false" outlineLevel="0" collapsed="false">
      <c r="B239" s="117"/>
      <c r="C239" s="117"/>
      <c r="D239" s="78"/>
    </row>
    <row r="240" s="72" customFormat="true" ht="13.5" hidden="false" customHeight="false" outlineLevel="0" collapsed="false">
      <c r="B240" s="117"/>
      <c r="C240" s="117"/>
      <c r="D240" s="78"/>
    </row>
    <row r="241" s="72" customFormat="true" ht="13.5" hidden="false" customHeight="false" outlineLevel="0" collapsed="false">
      <c r="B241" s="117"/>
      <c r="C241" s="117"/>
      <c r="D241" s="78"/>
    </row>
    <row r="242" s="72" customFormat="true" ht="13.5" hidden="false" customHeight="false" outlineLevel="0" collapsed="false">
      <c r="B242" s="117"/>
      <c r="C242" s="117"/>
      <c r="D242" s="78"/>
    </row>
    <row r="243" s="72" customFormat="true" ht="13.5" hidden="false" customHeight="false" outlineLevel="0" collapsed="false">
      <c r="B243" s="117"/>
      <c r="C243" s="117"/>
      <c r="D243" s="78"/>
    </row>
    <row r="244" s="72" customFormat="true" ht="13.5" hidden="false" customHeight="false" outlineLevel="0" collapsed="false">
      <c r="B244" s="117"/>
      <c r="C244" s="117"/>
      <c r="D244" s="78"/>
    </row>
    <row r="245" s="72" customFormat="true" ht="13.5" hidden="false" customHeight="false" outlineLevel="0" collapsed="false">
      <c r="B245" s="117"/>
      <c r="C245" s="117"/>
      <c r="D245" s="78"/>
    </row>
    <row r="246" s="72" customFormat="true" ht="13.5" hidden="false" customHeight="false" outlineLevel="0" collapsed="false">
      <c r="B246" s="117"/>
      <c r="C246" s="117"/>
      <c r="D246" s="78"/>
    </row>
    <row r="247" s="72" customFormat="true" ht="13.5" hidden="false" customHeight="false" outlineLevel="0" collapsed="false">
      <c r="B247" s="117"/>
      <c r="C247" s="117"/>
      <c r="D247" s="78"/>
    </row>
    <row r="248" s="72" customFormat="true" ht="13.5" hidden="false" customHeight="false" outlineLevel="0" collapsed="false">
      <c r="B248" s="117"/>
      <c r="C248" s="117"/>
      <c r="D248" s="78"/>
    </row>
    <row r="249" s="72" customFormat="true" ht="13.5" hidden="false" customHeight="false" outlineLevel="0" collapsed="false">
      <c r="B249" s="117"/>
      <c r="C249" s="117"/>
      <c r="D249" s="78"/>
    </row>
    <row r="250" s="72" customFormat="true" ht="13.5" hidden="false" customHeight="false" outlineLevel="0" collapsed="false">
      <c r="B250" s="117"/>
      <c r="C250" s="117"/>
      <c r="D250" s="78"/>
    </row>
    <row r="251" s="72" customFormat="true" ht="13.5" hidden="false" customHeight="false" outlineLevel="0" collapsed="false">
      <c r="B251" s="117"/>
      <c r="C251" s="117"/>
      <c r="D251" s="78"/>
    </row>
    <row r="252" s="72" customFormat="true" ht="13.5" hidden="false" customHeight="false" outlineLevel="0" collapsed="false">
      <c r="B252" s="117"/>
      <c r="C252" s="117"/>
      <c r="D252" s="78"/>
    </row>
    <row r="253" s="72" customFormat="true" ht="13.5" hidden="false" customHeight="false" outlineLevel="0" collapsed="false">
      <c r="B253" s="117"/>
      <c r="C253" s="117"/>
      <c r="D253" s="78"/>
    </row>
    <row r="254" s="72" customFormat="true" ht="13.5" hidden="false" customHeight="false" outlineLevel="0" collapsed="false">
      <c r="B254" s="117"/>
      <c r="C254" s="117"/>
      <c r="D254" s="78"/>
    </row>
    <row r="255" s="72" customFormat="true" ht="13.5" hidden="false" customHeight="false" outlineLevel="0" collapsed="false">
      <c r="B255" s="117"/>
      <c r="C255" s="117"/>
      <c r="D255" s="78"/>
    </row>
    <row r="256" s="72" customFormat="true" ht="13.5" hidden="false" customHeight="false" outlineLevel="0" collapsed="false">
      <c r="B256" s="117"/>
      <c r="C256" s="117"/>
      <c r="D256" s="78"/>
    </row>
    <row r="257" s="72" customFormat="true" ht="13.5" hidden="false" customHeight="false" outlineLevel="0" collapsed="false">
      <c r="B257" s="117"/>
      <c r="C257" s="117"/>
      <c r="D257" s="78"/>
    </row>
    <row r="258" s="72" customFormat="true" ht="13.5" hidden="false" customHeight="false" outlineLevel="0" collapsed="false">
      <c r="B258" s="117"/>
      <c r="C258" s="117"/>
      <c r="D258" s="78"/>
    </row>
    <row r="259" s="72" customFormat="true" ht="13.5" hidden="false" customHeight="false" outlineLevel="0" collapsed="false">
      <c r="B259" s="117"/>
      <c r="C259" s="117"/>
      <c r="D259" s="78"/>
    </row>
    <row r="260" s="72" customFormat="true" ht="13.5" hidden="false" customHeight="false" outlineLevel="0" collapsed="false">
      <c r="B260" s="117"/>
      <c r="C260" s="117"/>
      <c r="D260" s="78"/>
    </row>
    <row r="261" s="72" customFormat="true" ht="13.5" hidden="false" customHeight="false" outlineLevel="0" collapsed="false">
      <c r="B261" s="117"/>
      <c r="C261" s="117"/>
      <c r="D261" s="78"/>
    </row>
    <row r="262" s="72" customFormat="true" ht="13.5" hidden="false" customHeight="false" outlineLevel="0" collapsed="false">
      <c r="B262" s="117"/>
      <c r="C262" s="117"/>
      <c r="D262" s="78"/>
    </row>
    <row r="263" s="72" customFormat="true" ht="13.5" hidden="false" customHeight="false" outlineLevel="0" collapsed="false">
      <c r="B263" s="117"/>
      <c r="C263" s="117"/>
      <c r="D263" s="78"/>
    </row>
    <row r="264" s="72" customFormat="true" ht="13.5" hidden="false" customHeight="false" outlineLevel="0" collapsed="false">
      <c r="B264" s="117"/>
      <c r="C264" s="117"/>
      <c r="D264" s="78"/>
    </row>
    <row r="265" s="72" customFormat="true" ht="13.5" hidden="false" customHeight="false" outlineLevel="0" collapsed="false">
      <c r="B265" s="117"/>
      <c r="C265" s="117"/>
      <c r="D265" s="78"/>
    </row>
    <row r="266" s="72" customFormat="true" ht="13.5" hidden="false" customHeight="false" outlineLevel="0" collapsed="false">
      <c r="B266" s="117"/>
      <c r="C266" s="117"/>
      <c r="D266" s="78"/>
    </row>
    <row r="267" s="72" customFormat="true" ht="13.5" hidden="false" customHeight="false" outlineLevel="0" collapsed="false">
      <c r="B267" s="117"/>
      <c r="C267" s="117"/>
      <c r="D267" s="78"/>
    </row>
    <row r="268" s="72" customFormat="true" ht="13.5" hidden="false" customHeight="false" outlineLevel="0" collapsed="false">
      <c r="B268" s="117"/>
      <c r="C268" s="117"/>
      <c r="D268" s="78"/>
    </row>
    <row r="269" s="72" customFormat="true" ht="13.5" hidden="false" customHeight="false" outlineLevel="0" collapsed="false">
      <c r="B269" s="117"/>
      <c r="C269" s="117"/>
      <c r="D269" s="78"/>
    </row>
    <row r="270" s="72" customFormat="true" ht="13.5" hidden="false" customHeight="false" outlineLevel="0" collapsed="false">
      <c r="B270" s="117"/>
      <c r="C270" s="117"/>
      <c r="D270" s="78"/>
    </row>
    <row r="271" s="72" customFormat="true" ht="13.5" hidden="false" customHeight="false" outlineLevel="0" collapsed="false">
      <c r="B271" s="117"/>
      <c r="C271" s="117"/>
      <c r="D271" s="78"/>
    </row>
    <row r="272" s="72" customFormat="true" ht="13.5" hidden="false" customHeight="false" outlineLevel="0" collapsed="false">
      <c r="B272" s="117"/>
      <c r="C272" s="117"/>
      <c r="D272" s="78"/>
    </row>
    <row r="273" s="72" customFormat="true" ht="13.5" hidden="false" customHeight="false" outlineLevel="0" collapsed="false">
      <c r="B273" s="117"/>
      <c r="C273" s="117"/>
      <c r="D273" s="78"/>
    </row>
    <row r="274" s="72" customFormat="true" ht="13.5" hidden="false" customHeight="false" outlineLevel="0" collapsed="false">
      <c r="B274" s="117"/>
      <c r="C274" s="117"/>
      <c r="D274" s="78"/>
    </row>
    <row r="275" s="72" customFormat="true" ht="13.5" hidden="false" customHeight="false" outlineLevel="0" collapsed="false">
      <c r="B275" s="117"/>
      <c r="C275" s="117"/>
      <c r="D275" s="78"/>
    </row>
    <row r="276" s="72" customFormat="true" ht="13.5" hidden="false" customHeight="false" outlineLevel="0" collapsed="false">
      <c r="B276" s="117"/>
      <c r="C276" s="117"/>
      <c r="D276" s="78"/>
    </row>
    <row r="277" s="72" customFormat="true" ht="13.5" hidden="false" customHeight="false" outlineLevel="0" collapsed="false">
      <c r="B277" s="117"/>
      <c r="C277" s="117"/>
      <c r="D277" s="78"/>
    </row>
    <row r="278" s="72" customFormat="true" ht="13.5" hidden="false" customHeight="false" outlineLevel="0" collapsed="false">
      <c r="B278" s="117"/>
      <c r="C278" s="117"/>
      <c r="D278" s="78"/>
    </row>
    <row r="279" s="72" customFormat="true" ht="13.5" hidden="false" customHeight="false" outlineLevel="0" collapsed="false">
      <c r="B279" s="117"/>
      <c r="C279" s="117"/>
      <c r="D279" s="78"/>
    </row>
    <row r="280" s="72" customFormat="true" ht="13.5" hidden="false" customHeight="false" outlineLevel="0" collapsed="false">
      <c r="B280" s="117"/>
      <c r="C280" s="117"/>
      <c r="D280" s="78"/>
    </row>
    <row r="281" s="72" customFormat="true" ht="13.5" hidden="false" customHeight="false" outlineLevel="0" collapsed="false">
      <c r="B281" s="117"/>
      <c r="C281" s="117"/>
      <c r="D281" s="78"/>
    </row>
    <row r="282" s="72" customFormat="true" ht="13.5" hidden="false" customHeight="false" outlineLevel="0" collapsed="false">
      <c r="B282" s="117"/>
      <c r="C282" s="117"/>
      <c r="D282" s="78"/>
    </row>
    <row r="283" s="72" customFormat="true" ht="13.5" hidden="false" customHeight="false" outlineLevel="0" collapsed="false">
      <c r="B283" s="117"/>
      <c r="C283" s="117"/>
      <c r="D283" s="78"/>
    </row>
    <row r="284" s="72" customFormat="true" ht="13.5" hidden="false" customHeight="false" outlineLevel="0" collapsed="false">
      <c r="B284" s="117"/>
      <c r="C284" s="117"/>
      <c r="D284" s="78"/>
    </row>
    <row r="285" s="72" customFormat="true" ht="13.5" hidden="false" customHeight="false" outlineLevel="0" collapsed="false">
      <c r="B285" s="117"/>
      <c r="C285" s="117"/>
      <c r="D285" s="78"/>
    </row>
    <row r="286" s="72" customFormat="true" ht="13.5" hidden="false" customHeight="false" outlineLevel="0" collapsed="false">
      <c r="B286" s="117"/>
      <c r="C286" s="117"/>
      <c r="D286" s="78"/>
    </row>
    <row r="287" s="72" customFormat="true" ht="13.5" hidden="false" customHeight="false" outlineLevel="0" collapsed="false">
      <c r="B287" s="117"/>
      <c r="C287" s="117"/>
      <c r="D287" s="78"/>
    </row>
    <row r="288" s="72" customFormat="true" ht="13.5" hidden="false" customHeight="false" outlineLevel="0" collapsed="false">
      <c r="B288" s="117"/>
      <c r="C288" s="117"/>
      <c r="D288" s="78"/>
    </row>
    <row r="289" s="72" customFormat="true" ht="13.5" hidden="false" customHeight="false" outlineLevel="0" collapsed="false">
      <c r="B289" s="117"/>
      <c r="C289" s="117"/>
      <c r="D289" s="78"/>
    </row>
    <row r="290" s="72" customFormat="true" ht="13.5" hidden="false" customHeight="false" outlineLevel="0" collapsed="false">
      <c r="B290" s="117"/>
      <c r="C290" s="117"/>
      <c r="D290" s="78"/>
    </row>
    <row r="291" s="72" customFormat="true" ht="13.5" hidden="false" customHeight="false" outlineLevel="0" collapsed="false">
      <c r="B291" s="117"/>
      <c r="C291" s="117"/>
      <c r="D291" s="78"/>
    </row>
    <row r="292" s="72" customFormat="true" ht="13.5" hidden="false" customHeight="false" outlineLevel="0" collapsed="false">
      <c r="B292" s="117"/>
      <c r="C292" s="117"/>
      <c r="D292" s="78"/>
    </row>
    <row r="293" s="72" customFormat="true" ht="13.5" hidden="false" customHeight="false" outlineLevel="0" collapsed="false">
      <c r="B293" s="117"/>
      <c r="C293" s="117"/>
      <c r="D293" s="78"/>
    </row>
    <row r="294" s="72" customFormat="true" ht="13.5" hidden="false" customHeight="false" outlineLevel="0" collapsed="false">
      <c r="B294" s="117"/>
      <c r="C294" s="117"/>
      <c r="D294" s="78"/>
    </row>
    <row r="295" s="72" customFormat="true" ht="13.5" hidden="false" customHeight="false" outlineLevel="0" collapsed="false">
      <c r="B295" s="117"/>
      <c r="C295" s="117"/>
      <c r="D295" s="78"/>
    </row>
    <row r="296" s="72" customFormat="true" ht="13.5" hidden="false" customHeight="false" outlineLevel="0" collapsed="false">
      <c r="B296" s="117"/>
      <c r="C296" s="117"/>
      <c r="D296" s="78"/>
    </row>
    <row r="297" s="72" customFormat="true" ht="13.5" hidden="false" customHeight="false" outlineLevel="0" collapsed="false">
      <c r="B297" s="117"/>
      <c r="C297" s="117"/>
      <c r="D297" s="78"/>
    </row>
    <row r="298" s="72" customFormat="true" ht="13.5" hidden="false" customHeight="false" outlineLevel="0" collapsed="false">
      <c r="B298" s="117"/>
      <c r="C298" s="117"/>
      <c r="D298" s="78"/>
    </row>
    <row r="299" s="72" customFormat="true" ht="13.5" hidden="false" customHeight="false" outlineLevel="0" collapsed="false">
      <c r="B299" s="117"/>
      <c r="C299" s="117"/>
      <c r="D299" s="78"/>
    </row>
    <row r="300" s="72" customFormat="true" ht="13.5" hidden="false" customHeight="false" outlineLevel="0" collapsed="false">
      <c r="B300" s="117"/>
      <c r="C300" s="117"/>
      <c r="D300" s="78"/>
    </row>
    <row r="301" s="72" customFormat="true" ht="13.5" hidden="false" customHeight="false" outlineLevel="0" collapsed="false">
      <c r="B301" s="117"/>
      <c r="C301" s="117"/>
      <c r="D301" s="78"/>
    </row>
    <row r="302" s="72" customFormat="true" ht="13.5" hidden="false" customHeight="false" outlineLevel="0" collapsed="false">
      <c r="B302" s="117"/>
      <c r="C302" s="117"/>
      <c r="D302" s="78"/>
    </row>
    <row r="303" s="72" customFormat="true" ht="13.5" hidden="false" customHeight="false" outlineLevel="0" collapsed="false">
      <c r="B303" s="117"/>
      <c r="C303" s="117"/>
      <c r="D303" s="78"/>
    </row>
    <row r="304" s="72" customFormat="true" ht="13.5" hidden="false" customHeight="false" outlineLevel="0" collapsed="false">
      <c r="B304" s="117"/>
      <c r="C304" s="117"/>
      <c r="D304" s="78"/>
    </row>
    <row r="305" s="72" customFormat="true" ht="13.5" hidden="false" customHeight="false" outlineLevel="0" collapsed="false">
      <c r="B305" s="117"/>
      <c r="C305" s="117"/>
      <c r="D305" s="78"/>
    </row>
    <row r="306" s="72" customFormat="true" ht="13.5" hidden="false" customHeight="false" outlineLevel="0" collapsed="false">
      <c r="B306" s="117"/>
      <c r="C306" s="117"/>
      <c r="D306" s="78"/>
    </row>
    <row r="307" s="72" customFormat="true" ht="13.5" hidden="false" customHeight="false" outlineLevel="0" collapsed="false">
      <c r="B307" s="117"/>
      <c r="C307" s="117"/>
      <c r="D307" s="78"/>
    </row>
    <row r="308" s="72" customFormat="true" ht="13.5" hidden="false" customHeight="false" outlineLevel="0" collapsed="false">
      <c r="B308" s="117"/>
      <c r="C308" s="117"/>
      <c r="D308" s="78"/>
    </row>
    <row r="309" s="72" customFormat="true" ht="13.5" hidden="false" customHeight="false" outlineLevel="0" collapsed="false">
      <c r="B309" s="117"/>
      <c r="C309" s="117"/>
      <c r="D309" s="78"/>
    </row>
    <row r="310" s="72" customFormat="true" ht="13.5" hidden="false" customHeight="false" outlineLevel="0" collapsed="false">
      <c r="B310" s="117"/>
      <c r="C310" s="117"/>
      <c r="D310" s="78"/>
    </row>
    <row r="311" s="72" customFormat="true" ht="13.5" hidden="false" customHeight="false" outlineLevel="0" collapsed="false">
      <c r="B311" s="117"/>
      <c r="C311" s="117"/>
      <c r="D311" s="78"/>
    </row>
    <row r="312" s="72" customFormat="true" ht="13.5" hidden="false" customHeight="false" outlineLevel="0" collapsed="false">
      <c r="B312" s="117"/>
      <c r="C312" s="117"/>
      <c r="D312" s="78"/>
    </row>
    <row r="313" s="72" customFormat="true" ht="13.5" hidden="false" customHeight="false" outlineLevel="0" collapsed="false">
      <c r="B313" s="117"/>
      <c r="C313" s="117"/>
      <c r="D313" s="78"/>
    </row>
    <row r="314" s="72" customFormat="true" ht="13.5" hidden="false" customHeight="false" outlineLevel="0" collapsed="false">
      <c r="B314" s="117"/>
      <c r="C314" s="117"/>
      <c r="D314" s="78"/>
    </row>
    <row r="315" s="72" customFormat="true" ht="13.5" hidden="false" customHeight="false" outlineLevel="0" collapsed="false">
      <c r="B315" s="117"/>
      <c r="C315" s="117"/>
      <c r="D315" s="78"/>
    </row>
    <row r="316" s="72" customFormat="true" ht="13.5" hidden="false" customHeight="false" outlineLevel="0" collapsed="false">
      <c r="B316" s="117"/>
      <c r="C316" s="117"/>
      <c r="D316" s="78"/>
    </row>
    <row r="317" s="72" customFormat="true" ht="13.5" hidden="false" customHeight="false" outlineLevel="0" collapsed="false">
      <c r="B317" s="117"/>
      <c r="C317" s="117"/>
      <c r="D317" s="78"/>
    </row>
    <row r="318" s="72" customFormat="true" ht="13.5" hidden="false" customHeight="false" outlineLevel="0" collapsed="false">
      <c r="B318" s="117"/>
      <c r="C318" s="117"/>
      <c r="D318" s="78"/>
    </row>
    <row r="319" s="72" customFormat="true" ht="13.5" hidden="false" customHeight="false" outlineLevel="0" collapsed="false">
      <c r="B319" s="117"/>
      <c r="C319" s="117"/>
      <c r="D319" s="78"/>
    </row>
    <row r="320" s="72" customFormat="true" ht="13.5" hidden="false" customHeight="false" outlineLevel="0" collapsed="false">
      <c r="B320" s="117"/>
      <c r="C320" s="117"/>
      <c r="D320" s="78"/>
    </row>
    <row r="321" s="72" customFormat="true" ht="13.5" hidden="false" customHeight="false" outlineLevel="0" collapsed="false">
      <c r="B321" s="117"/>
      <c r="C321" s="117"/>
      <c r="D321" s="78"/>
    </row>
    <row r="322" s="72" customFormat="true" ht="13.5" hidden="false" customHeight="false" outlineLevel="0" collapsed="false">
      <c r="B322" s="117"/>
      <c r="C322" s="117"/>
      <c r="D322" s="78"/>
    </row>
    <row r="323" s="72" customFormat="true" ht="13.5" hidden="false" customHeight="false" outlineLevel="0" collapsed="false">
      <c r="B323" s="117"/>
      <c r="C323" s="117"/>
      <c r="D323" s="78"/>
    </row>
    <row r="324" s="72" customFormat="true" ht="13.5" hidden="false" customHeight="false" outlineLevel="0" collapsed="false">
      <c r="B324" s="117"/>
      <c r="C324" s="117"/>
      <c r="D324" s="78"/>
    </row>
    <row r="325" s="72" customFormat="true" ht="13.5" hidden="false" customHeight="false" outlineLevel="0" collapsed="false">
      <c r="B325" s="117"/>
      <c r="C325" s="117"/>
      <c r="D325" s="78"/>
    </row>
    <row r="326" s="72" customFormat="true" ht="13.5" hidden="false" customHeight="false" outlineLevel="0" collapsed="false">
      <c r="B326" s="117"/>
      <c r="C326" s="117"/>
      <c r="D326" s="78"/>
    </row>
    <row r="327" s="72" customFormat="true" ht="13.5" hidden="false" customHeight="false" outlineLevel="0" collapsed="false">
      <c r="B327" s="117"/>
      <c r="C327" s="117"/>
      <c r="D327" s="78"/>
    </row>
    <row r="328" s="72" customFormat="true" ht="13.5" hidden="false" customHeight="false" outlineLevel="0" collapsed="false">
      <c r="B328" s="117"/>
      <c r="C328" s="117"/>
      <c r="D328" s="78"/>
    </row>
    <row r="329" s="72" customFormat="true" ht="13.5" hidden="false" customHeight="false" outlineLevel="0" collapsed="false">
      <c r="B329" s="117"/>
      <c r="C329" s="117"/>
      <c r="D329" s="78"/>
    </row>
    <row r="330" s="72" customFormat="true" ht="13.5" hidden="false" customHeight="false" outlineLevel="0" collapsed="false">
      <c r="B330" s="117"/>
      <c r="C330" s="117"/>
      <c r="D330" s="78"/>
    </row>
    <row r="331" s="72" customFormat="true" ht="13.5" hidden="false" customHeight="false" outlineLevel="0" collapsed="false">
      <c r="B331" s="117"/>
      <c r="C331" s="117"/>
      <c r="D331" s="78"/>
    </row>
    <row r="332" s="72" customFormat="true" ht="13.5" hidden="false" customHeight="false" outlineLevel="0" collapsed="false">
      <c r="B332" s="117"/>
      <c r="C332" s="117"/>
      <c r="D332" s="78"/>
    </row>
    <row r="333" s="72" customFormat="true" ht="13.5" hidden="false" customHeight="false" outlineLevel="0" collapsed="false">
      <c r="B333" s="117"/>
      <c r="C333" s="117"/>
      <c r="D333" s="78"/>
    </row>
    <row r="334" s="72" customFormat="true" ht="13.5" hidden="false" customHeight="false" outlineLevel="0" collapsed="false">
      <c r="B334" s="117"/>
      <c r="C334" s="117"/>
      <c r="D334" s="78"/>
    </row>
    <row r="335" s="72" customFormat="true" ht="13.5" hidden="false" customHeight="false" outlineLevel="0" collapsed="false">
      <c r="B335" s="117"/>
      <c r="C335" s="117"/>
      <c r="D335" s="78"/>
    </row>
    <row r="336" s="72" customFormat="true" ht="13.5" hidden="false" customHeight="false" outlineLevel="0" collapsed="false">
      <c r="B336" s="117"/>
      <c r="C336" s="117"/>
      <c r="D336" s="78"/>
    </row>
    <row r="337" s="72" customFormat="true" ht="13.5" hidden="false" customHeight="false" outlineLevel="0" collapsed="false">
      <c r="B337" s="117"/>
      <c r="C337" s="117"/>
      <c r="D337" s="78"/>
    </row>
    <row r="338" s="72" customFormat="true" ht="13.5" hidden="false" customHeight="false" outlineLevel="0" collapsed="false">
      <c r="B338" s="117"/>
      <c r="C338" s="117"/>
      <c r="D338" s="78"/>
    </row>
    <row r="339" s="72" customFormat="true" ht="13.5" hidden="false" customHeight="false" outlineLevel="0" collapsed="false">
      <c r="B339" s="117"/>
      <c r="C339" s="117"/>
      <c r="D339" s="78"/>
    </row>
    <row r="340" s="72" customFormat="true" ht="13.5" hidden="false" customHeight="false" outlineLevel="0" collapsed="false">
      <c r="B340" s="117"/>
      <c r="C340" s="117"/>
      <c r="D340" s="78"/>
    </row>
    <row r="341" s="72" customFormat="true" ht="13.5" hidden="false" customHeight="false" outlineLevel="0" collapsed="false">
      <c r="B341" s="117"/>
      <c r="C341" s="117"/>
      <c r="D341" s="78"/>
    </row>
    <row r="342" s="72" customFormat="true" ht="13.5" hidden="false" customHeight="false" outlineLevel="0" collapsed="false">
      <c r="B342" s="117"/>
      <c r="C342" s="117"/>
      <c r="D342" s="78"/>
    </row>
    <row r="343" s="72" customFormat="true" ht="13.5" hidden="false" customHeight="false" outlineLevel="0" collapsed="false">
      <c r="B343" s="117"/>
      <c r="C343" s="117"/>
      <c r="D343" s="78"/>
    </row>
    <row r="344" s="72" customFormat="true" ht="13.5" hidden="false" customHeight="false" outlineLevel="0" collapsed="false">
      <c r="B344" s="117"/>
      <c r="C344" s="117"/>
      <c r="D344" s="78"/>
    </row>
    <row r="345" s="72" customFormat="true" ht="13.5" hidden="false" customHeight="false" outlineLevel="0" collapsed="false">
      <c r="B345" s="117"/>
      <c r="C345" s="117"/>
      <c r="D345" s="78"/>
    </row>
    <row r="346" s="72" customFormat="true" ht="13.5" hidden="false" customHeight="false" outlineLevel="0" collapsed="false">
      <c r="B346" s="117"/>
      <c r="C346" s="117"/>
      <c r="D346" s="78"/>
    </row>
    <row r="347" s="72" customFormat="true" ht="13.5" hidden="false" customHeight="false" outlineLevel="0" collapsed="false">
      <c r="B347" s="117"/>
      <c r="C347" s="117"/>
      <c r="D347" s="78"/>
    </row>
    <row r="348" s="72" customFormat="true" ht="13.5" hidden="false" customHeight="false" outlineLevel="0" collapsed="false">
      <c r="B348" s="117"/>
      <c r="C348" s="117"/>
      <c r="D348" s="78"/>
    </row>
    <row r="349" s="72" customFormat="true" ht="13.5" hidden="false" customHeight="false" outlineLevel="0" collapsed="false">
      <c r="B349" s="117"/>
      <c r="C349" s="117"/>
      <c r="D349" s="78"/>
    </row>
    <row r="350" s="72" customFormat="true" ht="13.5" hidden="false" customHeight="false" outlineLevel="0" collapsed="false">
      <c r="B350" s="117"/>
      <c r="C350" s="117"/>
      <c r="D350" s="78"/>
    </row>
    <row r="351" s="72" customFormat="true" ht="13.5" hidden="false" customHeight="false" outlineLevel="0" collapsed="false">
      <c r="B351" s="117"/>
      <c r="C351" s="117"/>
      <c r="D351" s="78"/>
    </row>
    <row r="352" s="72" customFormat="true" ht="13.5" hidden="false" customHeight="false" outlineLevel="0" collapsed="false">
      <c r="B352" s="117"/>
      <c r="C352" s="117"/>
      <c r="D352" s="7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Q47"/>
  <sheetViews>
    <sheetView showFormulas="false" showGridLines="false" showRowColHeaders="true" showZeros="true" rightToLeft="false" tabSelected="false" showOutlineSymbols="true" defaultGridColor="true" view="normal" topLeftCell="AQ10" colorId="64" zoomScale="55" zoomScaleNormal="55" zoomScalePageLayoutView="70" workbookViewId="0">
      <selection pane="topLeft" activeCell="BQ47" activeCellId="0" sqref="BQ47"/>
    </sheetView>
  </sheetViews>
  <sheetFormatPr defaultColWidth="9.59765625" defaultRowHeight="10.5" zeroHeight="false" outlineLevelRow="0" outlineLevelCol="0"/>
  <cols>
    <col collapsed="false" customWidth="true" hidden="false" outlineLevel="0" max="1" min="1" style="119" width="8.26"/>
    <col collapsed="false" customWidth="true" hidden="false" outlineLevel="0" max="2" min="2" style="119" width="8.87"/>
    <col collapsed="false" customWidth="true" hidden="false" outlineLevel="0" max="3" min="3" style="119" width="7.4"/>
    <col collapsed="false" customWidth="true" hidden="false" outlineLevel="0" max="4" min="4" style="119" width="8.8"/>
    <col collapsed="false" customWidth="true" hidden="false" outlineLevel="0" max="5" min="5" style="119" width="6.59"/>
    <col collapsed="false" customWidth="true" hidden="false" outlineLevel="0" max="6" min="6" style="119" width="11.06"/>
    <col collapsed="false" customWidth="true" hidden="false" outlineLevel="0" max="7" min="7" style="119" width="10.4"/>
    <col collapsed="false" customWidth="false" hidden="false" outlineLevel="0" max="8" min="8" style="119" width="9.6"/>
    <col collapsed="false" customWidth="true" hidden="false" outlineLevel="0" max="9" min="9" style="119" width="15"/>
    <col collapsed="false" customWidth="true" hidden="false" outlineLevel="0" max="10" min="10" style="119" width="1.67"/>
    <col collapsed="false" customWidth="true" hidden="false" outlineLevel="0" max="11" min="11" style="119" width="8.26"/>
    <col collapsed="false" customWidth="true" hidden="false" outlineLevel="0" max="12" min="12" style="119" width="8.87"/>
    <col collapsed="false" customWidth="true" hidden="false" outlineLevel="0" max="13" min="13" style="119" width="7.4"/>
    <col collapsed="false" customWidth="true" hidden="false" outlineLevel="0" max="14" min="14" style="119" width="8.8"/>
    <col collapsed="false" customWidth="true" hidden="false" outlineLevel="0" max="15" min="15" style="119" width="6.59"/>
    <col collapsed="false" customWidth="true" hidden="false" outlineLevel="0" max="16" min="16" style="119" width="11.06"/>
    <col collapsed="false" customWidth="true" hidden="false" outlineLevel="0" max="17" min="17" style="119" width="10.4"/>
    <col collapsed="false" customWidth="false" hidden="false" outlineLevel="0" max="18" min="18" style="119" width="9.6"/>
    <col collapsed="false" customWidth="true" hidden="false" outlineLevel="0" max="19" min="19" style="119" width="15"/>
    <col collapsed="false" customWidth="true" hidden="false" outlineLevel="0" max="20" min="20" style="119" width="1.67"/>
    <col collapsed="false" customWidth="true" hidden="false" outlineLevel="0" max="21" min="21" style="119" width="8.26"/>
    <col collapsed="false" customWidth="true" hidden="false" outlineLevel="0" max="22" min="22" style="119" width="8.87"/>
    <col collapsed="false" customWidth="true" hidden="false" outlineLevel="0" max="23" min="23" style="119" width="7.4"/>
    <col collapsed="false" customWidth="true" hidden="false" outlineLevel="0" max="24" min="24" style="119" width="8.8"/>
    <col collapsed="false" customWidth="true" hidden="false" outlineLevel="0" max="25" min="25" style="119" width="6.59"/>
    <col collapsed="false" customWidth="true" hidden="false" outlineLevel="0" max="26" min="26" style="119" width="11.06"/>
    <col collapsed="false" customWidth="true" hidden="false" outlineLevel="0" max="27" min="27" style="119" width="10.4"/>
    <col collapsed="false" customWidth="false" hidden="false" outlineLevel="0" max="28" min="28" style="119" width="9.6"/>
    <col collapsed="false" customWidth="true" hidden="false" outlineLevel="0" max="29" min="29" style="119" width="15"/>
    <col collapsed="false" customWidth="true" hidden="false" outlineLevel="0" max="30" min="30" style="119" width="1.67"/>
    <col collapsed="false" customWidth="true" hidden="false" outlineLevel="0" max="31" min="31" style="119" width="8.26"/>
    <col collapsed="false" customWidth="true" hidden="false" outlineLevel="0" max="32" min="32" style="119" width="8.87"/>
    <col collapsed="false" customWidth="true" hidden="false" outlineLevel="0" max="33" min="33" style="119" width="7.4"/>
    <col collapsed="false" customWidth="true" hidden="false" outlineLevel="0" max="34" min="34" style="119" width="8.8"/>
    <col collapsed="false" customWidth="true" hidden="false" outlineLevel="0" max="35" min="35" style="119" width="6.59"/>
    <col collapsed="false" customWidth="true" hidden="false" outlineLevel="0" max="36" min="36" style="119" width="11.06"/>
    <col collapsed="false" customWidth="true" hidden="false" outlineLevel="0" max="37" min="37" style="119" width="10.4"/>
    <col collapsed="false" customWidth="false" hidden="false" outlineLevel="0" max="38" min="38" style="119" width="9.6"/>
    <col collapsed="false" customWidth="true" hidden="false" outlineLevel="0" max="39" min="39" style="119" width="15"/>
    <col collapsed="false" customWidth="true" hidden="false" outlineLevel="0" max="40" min="40" style="119" width="1.67"/>
    <col collapsed="false" customWidth="true" hidden="false" outlineLevel="0" max="41" min="41" style="119" width="8.26"/>
    <col collapsed="false" customWidth="true" hidden="false" outlineLevel="0" max="42" min="42" style="119" width="8.87"/>
    <col collapsed="false" customWidth="true" hidden="false" outlineLevel="0" max="43" min="43" style="119" width="7.4"/>
    <col collapsed="false" customWidth="true" hidden="false" outlineLevel="0" max="44" min="44" style="119" width="8.8"/>
    <col collapsed="false" customWidth="true" hidden="false" outlineLevel="0" max="45" min="45" style="119" width="6.59"/>
    <col collapsed="false" customWidth="true" hidden="false" outlineLevel="0" max="46" min="46" style="119" width="11.06"/>
    <col collapsed="false" customWidth="true" hidden="false" outlineLevel="0" max="47" min="47" style="119" width="10.4"/>
    <col collapsed="false" customWidth="false" hidden="false" outlineLevel="0" max="48" min="48" style="119" width="9.6"/>
    <col collapsed="false" customWidth="true" hidden="false" outlineLevel="0" max="49" min="49" style="119" width="15"/>
    <col collapsed="false" customWidth="true" hidden="false" outlineLevel="0" max="50" min="50" style="119" width="1.67"/>
    <col collapsed="false" customWidth="true" hidden="false" outlineLevel="0" max="51" min="51" style="119" width="8.26"/>
    <col collapsed="false" customWidth="true" hidden="false" outlineLevel="0" max="52" min="52" style="119" width="8.87"/>
    <col collapsed="false" customWidth="true" hidden="false" outlineLevel="0" max="53" min="53" style="119" width="7.4"/>
    <col collapsed="false" customWidth="true" hidden="false" outlineLevel="0" max="54" min="54" style="119" width="8.8"/>
    <col collapsed="false" customWidth="true" hidden="false" outlineLevel="0" max="55" min="55" style="119" width="6.59"/>
    <col collapsed="false" customWidth="true" hidden="false" outlineLevel="0" max="56" min="56" style="119" width="11.06"/>
    <col collapsed="false" customWidth="true" hidden="false" outlineLevel="0" max="57" min="57" style="119" width="10.4"/>
    <col collapsed="false" customWidth="false" hidden="false" outlineLevel="0" max="58" min="58" style="119" width="9.6"/>
    <col collapsed="false" customWidth="true" hidden="false" outlineLevel="0" max="59" min="59" style="119" width="15"/>
    <col collapsed="false" customWidth="true" hidden="false" outlineLevel="0" max="60" min="60" style="119" width="1.67"/>
    <col collapsed="false" customWidth="true" hidden="false" outlineLevel="0" max="61" min="61" style="119" width="8.26"/>
    <col collapsed="false" customWidth="true" hidden="false" outlineLevel="0" max="62" min="62" style="119" width="8.87"/>
    <col collapsed="false" customWidth="true" hidden="false" outlineLevel="0" max="63" min="63" style="119" width="7.4"/>
    <col collapsed="false" customWidth="true" hidden="false" outlineLevel="0" max="64" min="64" style="119" width="8.8"/>
    <col collapsed="false" customWidth="true" hidden="false" outlineLevel="0" max="65" min="65" style="119" width="6.59"/>
    <col collapsed="false" customWidth="true" hidden="false" outlineLevel="0" max="66" min="66" style="119" width="11.06"/>
    <col collapsed="false" customWidth="true" hidden="false" outlineLevel="0" max="67" min="67" style="119" width="10.4"/>
    <col collapsed="false" customWidth="false" hidden="false" outlineLevel="0" max="68" min="68" style="119" width="9.6"/>
    <col collapsed="false" customWidth="true" hidden="false" outlineLevel="0" max="69" min="69" style="119" width="15"/>
    <col collapsed="false" customWidth="true" hidden="false" outlineLevel="0" max="70" min="70" style="119" width="1.67"/>
    <col collapsed="false" customWidth="false" hidden="false" outlineLevel="0" max="16384" min="71" style="119" width="9.6"/>
  </cols>
  <sheetData>
    <row r="2" customFormat="false" ht="15.75" hidden="false" customHeight="true" outlineLevel="0" collapsed="false">
      <c r="A2" s="120" t="s">
        <v>18</v>
      </c>
      <c r="B2" s="120"/>
      <c r="C2" s="120"/>
      <c r="D2" s="120"/>
      <c r="E2" s="120"/>
      <c r="F2" s="120"/>
      <c r="G2" s="120"/>
      <c r="H2" s="120"/>
      <c r="I2" s="120"/>
      <c r="K2" s="120" t="s">
        <v>21</v>
      </c>
      <c r="L2" s="120"/>
      <c r="M2" s="120"/>
      <c r="N2" s="120"/>
      <c r="O2" s="120"/>
      <c r="P2" s="120"/>
      <c r="Q2" s="120"/>
      <c r="R2" s="120"/>
      <c r="S2" s="120"/>
      <c r="U2" s="120" t="s">
        <v>23</v>
      </c>
      <c r="V2" s="120"/>
      <c r="W2" s="120"/>
      <c r="X2" s="120"/>
      <c r="Y2" s="120"/>
      <c r="Z2" s="120"/>
      <c r="AA2" s="120"/>
      <c r="AB2" s="120"/>
      <c r="AC2" s="120"/>
      <c r="AE2" s="120" t="s">
        <v>27</v>
      </c>
      <c r="AF2" s="120"/>
      <c r="AG2" s="120"/>
      <c r="AH2" s="120"/>
      <c r="AI2" s="120"/>
      <c r="AJ2" s="120"/>
      <c r="AK2" s="120"/>
      <c r="AL2" s="120"/>
      <c r="AM2" s="120"/>
      <c r="AO2" s="120" t="s">
        <v>29</v>
      </c>
      <c r="AP2" s="120"/>
      <c r="AQ2" s="120"/>
      <c r="AR2" s="120"/>
      <c r="AS2" s="120"/>
      <c r="AT2" s="120"/>
      <c r="AU2" s="120"/>
      <c r="AV2" s="120"/>
      <c r="AW2" s="120"/>
      <c r="AY2" s="120" t="s">
        <v>31</v>
      </c>
      <c r="AZ2" s="120"/>
      <c r="BA2" s="120"/>
      <c r="BB2" s="120"/>
      <c r="BC2" s="120"/>
      <c r="BD2" s="120"/>
      <c r="BE2" s="120"/>
      <c r="BF2" s="120"/>
      <c r="BG2" s="120"/>
      <c r="BI2" s="120" t="s">
        <v>33</v>
      </c>
      <c r="BJ2" s="120"/>
      <c r="BK2" s="120"/>
      <c r="BL2" s="120"/>
      <c r="BM2" s="120"/>
      <c r="BN2" s="120"/>
      <c r="BO2" s="120"/>
      <c r="BP2" s="120"/>
      <c r="BQ2" s="120"/>
    </row>
    <row r="3" customFormat="false" ht="11.25" hidden="false" customHeight="true" outlineLevel="0" collapsed="false">
      <c r="A3" s="121" t="s">
        <v>221</v>
      </c>
      <c r="B3" s="121" t="s">
        <v>222</v>
      </c>
      <c r="C3" s="121" t="s">
        <v>223</v>
      </c>
      <c r="D3" s="121" t="s">
        <v>224</v>
      </c>
      <c r="E3" s="121" t="s">
        <v>225</v>
      </c>
      <c r="F3" s="121" t="s">
        <v>226</v>
      </c>
      <c r="G3" s="121" t="s">
        <v>227</v>
      </c>
      <c r="H3" s="121" t="s">
        <v>228</v>
      </c>
      <c r="I3" s="121" t="s">
        <v>229</v>
      </c>
      <c r="K3" s="122" t="s">
        <v>221</v>
      </c>
      <c r="L3" s="123" t="s">
        <v>222</v>
      </c>
      <c r="M3" s="123" t="s">
        <v>223</v>
      </c>
      <c r="N3" s="123" t="s">
        <v>224</v>
      </c>
      <c r="O3" s="123" t="s">
        <v>225</v>
      </c>
      <c r="P3" s="123" t="s">
        <v>226</v>
      </c>
      <c r="Q3" s="123" t="s">
        <v>227</v>
      </c>
      <c r="R3" s="123" t="s">
        <v>228</v>
      </c>
      <c r="S3" s="124" t="s">
        <v>229</v>
      </c>
      <c r="U3" s="121" t="s">
        <v>221</v>
      </c>
      <c r="V3" s="121" t="s">
        <v>222</v>
      </c>
      <c r="W3" s="121" t="s">
        <v>223</v>
      </c>
      <c r="X3" s="121" t="s">
        <v>224</v>
      </c>
      <c r="Y3" s="121" t="s">
        <v>225</v>
      </c>
      <c r="Z3" s="121" t="s">
        <v>226</v>
      </c>
      <c r="AA3" s="121" t="s">
        <v>227</v>
      </c>
      <c r="AB3" s="121" t="s">
        <v>228</v>
      </c>
      <c r="AC3" s="121" t="s">
        <v>229</v>
      </c>
      <c r="AE3" s="121" t="s">
        <v>221</v>
      </c>
      <c r="AF3" s="121" t="s">
        <v>222</v>
      </c>
      <c r="AG3" s="121" t="s">
        <v>223</v>
      </c>
      <c r="AH3" s="121" t="s">
        <v>224</v>
      </c>
      <c r="AI3" s="121" t="s">
        <v>225</v>
      </c>
      <c r="AJ3" s="121" t="s">
        <v>226</v>
      </c>
      <c r="AK3" s="121" t="s">
        <v>227</v>
      </c>
      <c r="AL3" s="121" t="s">
        <v>228</v>
      </c>
      <c r="AM3" s="121" t="s">
        <v>229</v>
      </c>
      <c r="AO3" s="121" t="s">
        <v>221</v>
      </c>
      <c r="AP3" s="121" t="s">
        <v>222</v>
      </c>
      <c r="AQ3" s="121" t="s">
        <v>223</v>
      </c>
      <c r="AR3" s="121" t="s">
        <v>224</v>
      </c>
      <c r="AS3" s="121" t="s">
        <v>225</v>
      </c>
      <c r="AT3" s="121" t="s">
        <v>226</v>
      </c>
      <c r="AU3" s="121" t="s">
        <v>227</v>
      </c>
      <c r="AV3" s="121" t="s">
        <v>228</v>
      </c>
      <c r="AW3" s="121" t="s">
        <v>229</v>
      </c>
      <c r="AY3" s="121" t="s">
        <v>221</v>
      </c>
      <c r="AZ3" s="121" t="s">
        <v>222</v>
      </c>
      <c r="BA3" s="121" t="s">
        <v>223</v>
      </c>
      <c r="BB3" s="121" t="s">
        <v>224</v>
      </c>
      <c r="BC3" s="121" t="s">
        <v>225</v>
      </c>
      <c r="BD3" s="121" t="s">
        <v>226</v>
      </c>
      <c r="BE3" s="121" t="s">
        <v>227</v>
      </c>
      <c r="BF3" s="121" t="s">
        <v>228</v>
      </c>
      <c r="BG3" s="121" t="s">
        <v>229</v>
      </c>
      <c r="BI3" s="121" t="s">
        <v>221</v>
      </c>
      <c r="BJ3" s="121" t="s">
        <v>222</v>
      </c>
      <c r="BK3" s="121" t="s">
        <v>223</v>
      </c>
      <c r="BL3" s="121" t="s">
        <v>224</v>
      </c>
      <c r="BM3" s="121" t="s">
        <v>225</v>
      </c>
      <c r="BN3" s="121" t="s">
        <v>226</v>
      </c>
      <c r="BO3" s="121" t="s">
        <v>227</v>
      </c>
      <c r="BP3" s="121" t="s">
        <v>228</v>
      </c>
      <c r="BQ3" s="121" t="s">
        <v>229</v>
      </c>
    </row>
    <row r="4" customFormat="false" ht="11.25" hidden="false" customHeight="true" outlineLevel="0" collapsed="false">
      <c r="A4" s="125" t="s">
        <v>230</v>
      </c>
      <c r="B4" s="126" t="n">
        <v>45077</v>
      </c>
      <c r="C4" s="126" t="str">
        <f aca="false">"Year " &amp; TEXT(YEAR(B4) - 2023, "0")</f>
        <v>Year 0</v>
      </c>
      <c r="D4" s="126" t="str">
        <f aca="false">_xlfn.IFS(E4&lt;90%,"Low",AND(E4&gt;=90%,E4&lt;=110%),"Medium", E4&gt;110%,"High")</f>
        <v>Low</v>
      </c>
      <c r="E4" s="127" t="n">
        <f aca="false">VLOOKUP(TEXT(B4,"mmmm"),Seasonality_Table_Gulf,2,0)</f>
        <v>0.8</v>
      </c>
      <c r="F4" s="128" t="n">
        <v>105971</v>
      </c>
      <c r="G4" s="128" t="n">
        <f aca="false">+F4*0.06</f>
        <v>6358.26</v>
      </c>
      <c r="H4" s="128" t="n">
        <f aca="false">IF(G4&lt;10000,10000-G4,0)</f>
        <v>3641.74</v>
      </c>
      <c r="I4" s="128" t="n">
        <f aca="false">G4+H4</f>
        <v>10000</v>
      </c>
      <c r="K4" s="129" t="s">
        <v>231</v>
      </c>
      <c r="L4" s="130" t="n">
        <v>45077</v>
      </c>
      <c r="M4" s="130" t="str">
        <f aca="false">"Year " &amp; TEXT(YEAR(L4) - 2023, "0")</f>
        <v>Year 0</v>
      </c>
      <c r="N4" s="130" t="str">
        <f aca="false">_xlfn.IFS(O4&lt;90%,"Low",AND(O4&gt;=90%,O4&lt;=110%),"Medium", O4&gt;110%,"High")</f>
        <v>Low</v>
      </c>
      <c r="O4" s="131" t="n">
        <f aca="false">VLOOKUP(TEXT(L4,"mmmm"),Seasonality_Table_Gulf,2,0)</f>
        <v>0.8</v>
      </c>
      <c r="P4" s="132" t="n">
        <f aca="false">INDEX(Baseline_Income_Projections,MATCH(K$2,'Country Sales &amp; Assumptions'!$G$13:$G$20,0),MATCH(Sales_Saudi_Arabia[[#This Row],[Year]],'Country Sales &amp; Assumptions'!$G$13:$L$13,0))*O4</f>
        <v>104036</v>
      </c>
      <c r="Q4" s="132" t="n">
        <f aca="false">+P4*0.06</f>
        <v>6242.16</v>
      </c>
      <c r="R4" s="132" t="n">
        <f aca="false">IF(Q4&lt;10000,10000-Q4,0)</f>
        <v>3757.84</v>
      </c>
      <c r="S4" s="133" t="n">
        <f aca="false">Q4+R4</f>
        <v>10000</v>
      </c>
      <c r="U4" s="134" t="s">
        <v>231</v>
      </c>
      <c r="V4" s="130" t="n">
        <v>45077</v>
      </c>
      <c r="W4" s="130" t="str">
        <f aca="false">"Year " &amp; TEXT(YEAR(V4) - 2023, "0")</f>
        <v>Year 0</v>
      </c>
      <c r="X4" s="130" t="str">
        <f aca="false">_xlfn.IFS(Y4&lt;90%,"Low",AND(Y4&gt;=90%,Y4&lt;=110%),"Medium", Y4&gt;110%,"High")</f>
        <v>Low</v>
      </c>
      <c r="Y4" s="131" t="n">
        <f aca="false">VLOOKUP(TEXT(V4,"mmmm"),Seasonality_Table_Gulf,2,0)</f>
        <v>0.8</v>
      </c>
      <c r="Z4" s="132" t="n">
        <f aca="false">INDEX(Baseline_Income_Projections,MATCH(U$2,'Country Sales &amp; Assumptions'!$G$13:$G$20,0),MATCH(Sales_Saudi_Arabia[[#This Row],[Year]],'Country Sales &amp; Assumptions'!$G$13:$L$13,0))*Y4</f>
        <v>112358.88</v>
      </c>
      <c r="AA4" s="132" t="n">
        <f aca="false">+Z4*0.06</f>
        <v>6741.5328</v>
      </c>
      <c r="AB4" s="132" t="n">
        <f aca="false">IF(AA4&lt;10000,10000-AA4,0)</f>
        <v>3258.4672</v>
      </c>
      <c r="AC4" s="132" t="n">
        <f aca="false">AA4+AB4</f>
        <v>10000</v>
      </c>
      <c r="AE4" s="134" t="s">
        <v>231</v>
      </c>
      <c r="AF4" s="130" t="n">
        <v>45077</v>
      </c>
      <c r="AG4" s="130" t="str">
        <f aca="false">"Year " &amp; TEXT(YEAR(AF4) - 2023, "0")</f>
        <v>Year 0</v>
      </c>
      <c r="AH4" s="130" t="str">
        <f aca="false">_xlfn.IFS(AI4&lt;90%,"Low",AND(AI4&gt;=90%,AI4&lt;=110%),"Medium", AI4&gt;110%,"High")</f>
        <v>Low</v>
      </c>
      <c r="AI4" s="131" t="n">
        <f aca="false">VLOOKUP(TEXT(AF4,"mmmm"),Seasonality_Table_Gulf,2,0)</f>
        <v>0.8</v>
      </c>
      <c r="AJ4" s="132" t="n">
        <f aca="false">INDEX(Baseline_Income_Projections,MATCH(AE$2,'Country Sales &amp; Assumptions'!$G$13:$G$20,0),MATCH(Sales_Saudi_Arabia[[#This Row],[Year]],'Country Sales &amp; Assumptions'!$G$13:$L$13,0))*AI4</f>
        <v>91551.68</v>
      </c>
      <c r="AK4" s="132" t="n">
        <f aca="false">+AJ4*0.06</f>
        <v>5493.1008</v>
      </c>
      <c r="AL4" s="132" t="n">
        <f aca="false">IF(AK4&lt;10000,10000-AK4,0)</f>
        <v>4506.8992</v>
      </c>
      <c r="AM4" s="132" t="n">
        <f aca="false">AK4+AL4</f>
        <v>10000</v>
      </c>
      <c r="AO4" s="134" t="s">
        <v>231</v>
      </c>
      <c r="AP4" s="130" t="n">
        <v>45077</v>
      </c>
      <c r="AQ4" s="130" t="str">
        <f aca="false">"Year " &amp; TEXT(YEAR(AP4) - 2023, "0")</f>
        <v>Year 0</v>
      </c>
      <c r="AR4" s="130" t="str">
        <f aca="false">_xlfn.IFS(AS4&lt;90%,"Low",AND(AS4&gt;=90%,AS4&lt;=110%),"Medium", AS4&gt;110%,"High")</f>
        <v>Medium</v>
      </c>
      <c r="AS4" s="131" t="n">
        <f aca="false">VLOOKUP(TEXT(AP4,"mmmm"),Seasonality_Table_Mediterranean,2,0)</f>
        <v>1.1</v>
      </c>
      <c r="AT4" s="132" t="n">
        <f aca="false">INDEX(Baseline_Income_Projections,MATCH(AO$2,'Country Sales &amp; Assumptions'!$G$13:$G$20,0),MATCH(Sales_Saudi_Arabia[[#This Row],[Year]],'Country Sales &amp; Assumptions'!$G$13:$L$13,0))*AS4</f>
        <v>120161.58</v>
      </c>
      <c r="AU4" s="132" t="n">
        <f aca="false">+AT4*0.06</f>
        <v>7209.6948</v>
      </c>
      <c r="AV4" s="132" t="n">
        <f aca="false">IF(AU4&lt;10000,10000-AU4,0)</f>
        <v>2790.3052</v>
      </c>
      <c r="AW4" s="132" t="n">
        <f aca="false">AU4+AV4</f>
        <v>10000</v>
      </c>
      <c r="AY4" s="134" t="s">
        <v>231</v>
      </c>
      <c r="AZ4" s="130" t="n">
        <v>45077</v>
      </c>
      <c r="BA4" s="130" t="str">
        <f aca="false">"Year " &amp; TEXT(YEAR(AZ4) - 2023, "0")</f>
        <v>Year 0</v>
      </c>
      <c r="BB4" s="130" t="str">
        <f aca="false">_xlfn.IFS(BC4&lt;90%,"Low",AND(BC4&gt;=90%,BC4&lt;=110%),"Medium", BC4&gt;110%,"High")</f>
        <v>Medium</v>
      </c>
      <c r="BC4" s="131" t="n">
        <f aca="false">VLOOKUP(TEXT(AZ4,"mmmm"),Seasonality_Table_Mediterranean,2,0)</f>
        <v>1.1</v>
      </c>
      <c r="BD4" s="132" t="n">
        <f aca="false">INDEX(Baseline_Income_Projections,MATCH(AY$2,'Country Sales &amp; Assumptions'!$G$13:$G$20,0),MATCH(Sales_Saudi_Arabia[[#This Row],[Year]],'Country Sales &amp; Assumptions'!$G$13:$L$13,0))*BC4</f>
        <v>108717.62</v>
      </c>
      <c r="BE4" s="132" t="n">
        <f aca="false">+BD4*0.06</f>
        <v>6523.0572</v>
      </c>
      <c r="BF4" s="132" t="n">
        <f aca="false">IF(BE4&lt;10000,10000-BE4,0)</f>
        <v>3476.9428</v>
      </c>
      <c r="BG4" s="132" t="n">
        <f aca="false">BE4+BF4</f>
        <v>10000</v>
      </c>
      <c r="BI4" s="134" t="s">
        <v>231</v>
      </c>
      <c r="BJ4" s="130" t="n">
        <v>45077</v>
      </c>
      <c r="BK4" s="130" t="str">
        <f aca="false">"Year " &amp; TEXT(YEAR(BJ4) - 2023, "0")</f>
        <v>Year 0</v>
      </c>
      <c r="BL4" s="130" t="str">
        <f aca="false">_xlfn.IFS(BM4&lt;90%,"Low",AND(BM4&gt;=90%,BM4&lt;=110%),"Medium", BM4&gt;110%,"High")</f>
        <v>Medium</v>
      </c>
      <c r="BM4" s="131" t="n">
        <f aca="false">VLOOKUP(TEXT(BJ4,"mmmm"),Seasonality_Table_Mediterranean,2,0)</f>
        <v>1.1</v>
      </c>
      <c r="BN4" s="132" t="n">
        <f aca="false">INDEX(Baseline_Income_Projections,MATCH(BI$2,'Country Sales &amp; Assumptions'!$G$13:$G$20,0),MATCH(Sales_Saudi_Arabia[[#This Row],[Year]],'Country Sales &amp; Assumptions'!$G$13:$L$13,0))*BM4</f>
        <v>102995.64</v>
      </c>
      <c r="BO4" s="132" t="n">
        <f aca="false">+BN4*0.06</f>
        <v>6179.7384</v>
      </c>
      <c r="BP4" s="132" t="n">
        <f aca="false">IF(BO4&lt;10000,10000-BO4,0)</f>
        <v>3820.2616</v>
      </c>
      <c r="BQ4" s="132" t="n">
        <f aca="false">BO4+BP4</f>
        <v>10000</v>
      </c>
    </row>
    <row r="5" customFormat="false" ht="11.25" hidden="false" customHeight="true" outlineLevel="0" collapsed="false">
      <c r="A5" s="125" t="s">
        <v>230</v>
      </c>
      <c r="B5" s="126" t="n">
        <v>45107</v>
      </c>
      <c r="C5" s="126" t="str">
        <f aca="false">"Year " &amp; TEXT(YEAR(B5) - 2023, "0")</f>
        <v>Year 0</v>
      </c>
      <c r="D5" s="126" t="str">
        <f aca="false">_xlfn.IFS(E5&lt;90%,"Low",AND(E5&gt;=90%,E5&lt;=110%),"Medium", E5&gt;110%,"High")</f>
        <v>Low</v>
      </c>
      <c r="E5" s="127" t="n">
        <f aca="false">VLOOKUP(TEXT(B5,"mmmm"),Seasonality_Table_Gulf,2,0)</f>
        <v>0.75</v>
      </c>
      <c r="F5" s="128" t="n">
        <v>123595</v>
      </c>
      <c r="G5" s="128" t="n">
        <f aca="false">+F5*0.06</f>
        <v>7415.7</v>
      </c>
      <c r="H5" s="128" t="n">
        <f aca="false">IF(G5&lt;10000,10000-G5,0)</f>
        <v>2584.3</v>
      </c>
      <c r="I5" s="128" t="n">
        <f aca="false">G5+H5</f>
        <v>10000</v>
      </c>
      <c r="K5" s="129" t="s">
        <v>231</v>
      </c>
      <c r="L5" s="130" t="n">
        <v>45107</v>
      </c>
      <c r="M5" s="130" t="str">
        <f aca="false">"Year " &amp; TEXT(YEAR(L5) - 2023, "0")</f>
        <v>Year 0</v>
      </c>
      <c r="N5" s="130" t="str">
        <f aca="false">_xlfn.IFS(O5&lt;90%,"Low",AND(O5&gt;=90%,O5&lt;=110%),"Medium", O5&gt;110%,"High")</f>
        <v>Low</v>
      </c>
      <c r="O5" s="131" t="n">
        <f aca="false">VLOOKUP(TEXT(L5,"mmmm"),Seasonality_Table_Gulf,2,0)</f>
        <v>0.75</v>
      </c>
      <c r="P5" s="132" t="n">
        <f aca="false">INDEX(Baseline_Income_Projections,MATCH(K$2,'Country Sales &amp; Assumptions'!$G$13:$G$20,0),MATCH(Sales_Saudi_Arabia[[#This Row],[Year]],'Country Sales &amp; Assumptions'!$G$13:$L$13,0))*O5</f>
        <v>97533.75</v>
      </c>
      <c r="Q5" s="132" t="n">
        <f aca="false">+P5*0.06</f>
        <v>5852.025</v>
      </c>
      <c r="R5" s="132" t="n">
        <f aca="false">IF(Q5&lt;10000,10000-Q5,0)</f>
        <v>4147.975</v>
      </c>
      <c r="S5" s="133" t="n">
        <f aca="false">Q5+R5</f>
        <v>10000</v>
      </c>
      <c r="U5" s="134" t="s">
        <v>231</v>
      </c>
      <c r="V5" s="130" t="n">
        <v>45107</v>
      </c>
      <c r="W5" s="130" t="str">
        <f aca="false">"Year " &amp; TEXT(YEAR(V5) - 2023, "0")</f>
        <v>Year 0</v>
      </c>
      <c r="X5" s="130" t="str">
        <f aca="false">_xlfn.IFS(Y5&lt;90%,"Low",AND(Y5&gt;=90%,Y5&lt;=110%),"Medium", Y5&gt;110%,"High")</f>
        <v>Low</v>
      </c>
      <c r="Y5" s="131" t="n">
        <f aca="false">VLOOKUP(TEXT(V5,"mmmm"),Seasonality_Table_Gulf,2,0)</f>
        <v>0.75</v>
      </c>
      <c r="Z5" s="132" t="n">
        <f aca="false">INDEX(Baseline_Income_Projections,MATCH(U$2,'Country Sales &amp; Assumptions'!$G$13:$G$20,0),MATCH(Sales_Saudi_Arabia[[#This Row],[Year]],'Country Sales &amp; Assumptions'!$G$13:$L$13,0))*Y5</f>
        <v>105336.45</v>
      </c>
      <c r="AA5" s="132" t="n">
        <f aca="false">+Z5*0.06</f>
        <v>6320.187</v>
      </c>
      <c r="AB5" s="132" t="n">
        <f aca="false">IF(AA5&lt;10000,10000-AA5,0)</f>
        <v>3679.813</v>
      </c>
      <c r="AC5" s="132" t="n">
        <f aca="false">AA5+AB5</f>
        <v>10000</v>
      </c>
      <c r="AE5" s="134" t="s">
        <v>231</v>
      </c>
      <c r="AF5" s="130" t="n">
        <v>45107</v>
      </c>
      <c r="AG5" s="130" t="str">
        <f aca="false">"Year " &amp; TEXT(YEAR(AF5) - 2023, "0")</f>
        <v>Year 0</v>
      </c>
      <c r="AH5" s="130" t="str">
        <f aca="false">_xlfn.IFS(AI5&lt;90%,"Low",AND(AI5&gt;=90%,AI5&lt;=110%),"Medium", AI5&gt;110%,"High")</f>
        <v>Low</v>
      </c>
      <c r="AI5" s="131" t="n">
        <f aca="false">VLOOKUP(TEXT(AF5,"mmmm"),Seasonality_Table_Gulf,2,0)</f>
        <v>0.75</v>
      </c>
      <c r="AJ5" s="132" t="n">
        <f aca="false">INDEX(Baseline_Income_Projections,MATCH(AE$2,'Country Sales &amp; Assumptions'!$G$13:$G$20,0),MATCH(Sales_Saudi_Arabia[[#This Row],[Year]],'Country Sales &amp; Assumptions'!$G$13:$L$13,0))*AI5</f>
        <v>85829.7</v>
      </c>
      <c r="AK5" s="132" t="n">
        <f aca="false">+AJ5*0.06</f>
        <v>5149.782</v>
      </c>
      <c r="AL5" s="132" t="n">
        <f aca="false">IF(AK5&lt;10000,10000-AK5,0)</f>
        <v>4850.218</v>
      </c>
      <c r="AM5" s="132" t="n">
        <f aca="false">AK5+AL5</f>
        <v>10000</v>
      </c>
      <c r="AO5" s="134" t="s">
        <v>231</v>
      </c>
      <c r="AP5" s="130" t="n">
        <v>45107</v>
      </c>
      <c r="AQ5" s="130" t="str">
        <f aca="false">"Year " &amp; TEXT(YEAR(AP5) - 2023, "0")</f>
        <v>Year 0</v>
      </c>
      <c r="AR5" s="130" t="str">
        <f aca="false">_xlfn.IFS(AS5&lt;90%,"Low",AND(AS5&gt;=90%,AS5&lt;=110%),"Medium", AS5&gt;110%,"High")</f>
        <v>Medium</v>
      </c>
      <c r="AS5" s="131" t="n">
        <f aca="false">VLOOKUP(TEXT(AP5,"mmmm"),Seasonality_Table_Mediterranean,2,0)</f>
        <v>1</v>
      </c>
      <c r="AT5" s="132" t="n">
        <f aca="false">INDEX(Baseline_Income_Projections,MATCH(AO$2,'Country Sales &amp; Assumptions'!$G$13:$G$20,0),MATCH(Sales_Saudi_Arabia[[#This Row],[Year]],'Country Sales &amp; Assumptions'!$G$13:$L$13,0))*AS5</f>
        <v>109237.8</v>
      </c>
      <c r="AU5" s="132" t="n">
        <f aca="false">+AT5*0.06</f>
        <v>6554.268</v>
      </c>
      <c r="AV5" s="132" t="n">
        <f aca="false">IF(AU5&lt;10000,10000-AU5,0)</f>
        <v>3445.732</v>
      </c>
      <c r="AW5" s="132" t="n">
        <f aca="false">AU5+AV5</f>
        <v>10000</v>
      </c>
      <c r="AY5" s="134" t="s">
        <v>231</v>
      </c>
      <c r="AZ5" s="130" t="n">
        <v>45107</v>
      </c>
      <c r="BA5" s="130" t="str">
        <f aca="false">"Year " &amp; TEXT(YEAR(AZ5) - 2023, "0")</f>
        <v>Year 0</v>
      </c>
      <c r="BB5" s="130" t="str">
        <f aca="false">_xlfn.IFS(BC5&lt;90%,"Low",AND(BC5&gt;=90%,BC5&lt;=110%),"Medium", BC5&gt;110%,"High")</f>
        <v>Medium</v>
      </c>
      <c r="BC5" s="131" t="n">
        <f aca="false">VLOOKUP(TEXT(AZ5,"mmmm"),Seasonality_Table_Mediterranean,2,0)</f>
        <v>1</v>
      </c>
      <c r="BD5" s="132" t="n">
        <f aca="false">INDEX(Baseline_Income_Projections,MATCH(AY$2,'Country Sales &amp; Assumptions'!$G$13:$G$20,0),MATCH(Sales_Saudi_Arabia[[#This Row],[Year]],'Country Sales &amp; Assumptions'!$G$13:$L$13,0))*BC5</f>
        <v>98834.2</v>
      </c>
      <c r="BE5" s="132" t="n">
        <f aca="false">+BD5*0.06</f>
        <v>5930.052</v>
      </c>
      <c r="BF5" s="132" t="n">
        <f aca="false">IF(BE5&lt;10000,10000-BE5,0)</f>
        <v>4069.948</v>
      </c>
      <c r="BG5" s="132" t="n">
        <f aca="false">BE5+BF5</f>
        <v>10000</v>
      </c>
      <c r="BI5" s="134" t="s">
        <v>231</v>
      </c>
      <c r="BJ5" s="130" t="n">
        <v>45107</v>
      </c>
      <c r="BK5" s="130" t="str">
        <f aca="false">"Year " &amp; TEXT(YEAR(BJ5) - 2023, "0")</f>
        <v>Year 0</v>
      </c>
      <c r="BL5" s="130" t="str">
        <f aca="false">_xlfn.IFS(BM5&lt;90%,"Low",AND(BM5&gt;=90%,BM5&lt;=110%),"Medium", BM5&gt;110%,"High")</f>
        <v>Medium</v>
      </c>
      <c r="BM5" s="131" t="n">
        <f aca="false">VLOOKUP(TEXT(BJ5,"mmmm"),Seasonality_Table_Mediterranean,2,0)</f>
        <v>1</v>
      </c>
      <c r="BN5" s="132" t="n">
        <f aca="false">INDEX(Baseline_Income_Projections,MATCH(BI$2,'Country Sales &amp; Assumptions'!$G$13:$G$20,0),MATCH(Sales_Saudi_Arabia[[#This Row],[Year]],'Country Sales &amp; Assumptions'!$G$13:$L$13,0))*BM5</f>
        <v>93632.4</v>
      </c>
      <c r="BO5" s="132" t="n">
        <f aca="false">+BN5*0.06</f>
        <v>5617.944</v>
      </c>
      <c r="BP5" s="132" t="n">
        <f aca="false">IF(BO5&lt;10000,10000-BO5,0)</f>
        <v>4382.056</v>
      </c>
      <c r="BQ5" s="132" t="n">
        <f aca="false">BO5+BP5</f>
        <v>10000</v>
      </c>
    </row>
    <row r="6" customFormat="false" ht="11.25" hidden="false" customHeight="true" outlineLevel="0" collapsed="false">
      <c r="A6" s="125" t="s">
        <v>230</v>
      </c>
      <c r="B6" s="126" t="n">
        <v>45138</v>
      </c>
      <c r="C6" s="126" t="str">
        <f aca="false">"Year " &amp; TEXT(YEAR(B6) - 2023, "0")</f>
        <v>Year 0</v>
      </c>
      <c r="D6" s="126" t="str">
        <f aca="false">_xlfn.IFS(E6&lt;90%,"Low",AND(E6&gt;=90%,E6&lt;=110%),"Medium", E6&gt;110%,"High")</f>
        <v>Low</v>
      </c>
      <c r="E6" s="127" t="n">
        <f aca="false">VLOOKUP(TEXT(B6,"mmmm"),Seasonality_Table_Gulf,2,0)</f>
        <v>0.7</v>
      </c>
      <c r="F6" s="128" t="n">
        <v>129208</v>
      </c>
      <c r="G6" s="128" t="n">
        <f aca="false">+F6*0.06</f>
        <v>7752.48</v>
      </c>
      <c r="H6" s="128" t="n">
        <f aca="false">IF(G6&lt;10000,10000-G6,0)</f>
        <v>2247.52</v>
      </c>
      <c r="I6" s="128" t="n">
        <f aca="false">G6+H6</f>
        <v>10000</v>
      </c>
      <c r="K6" s="129" t="s">
        <v>231</v>
      </c>
      <c r="L6" s="130" t="n">
        <v>45138</v>
      </c>
      <c r="M6" s="130" t="str">
        <f aca="false">"Year " &amp; TEXT(YEAR(L6) - 2023, "0")</f>
        <v>Year 0</v>
      </c>
      <c r="N6" s="130" t="str">
        <f aca="false">_xlfn.IFS(O6&lt;90%,"Low",AND(O6&gt;=90%,O6&lt;=110%),"Medium", O6&gt;110%,"High")</f>
        <v>Low</v>
      </c>
      <c r="O6" s="131" t="n">
        <f aca="false">VLOOKUP(TEXT(L6,"mmmm"),Seasonality_Table_Gulf,2,0)</f>
        <v>0.7</v>
      </c>
      <c r="P6" s="132" t="n">
        <f aca="false">INDEX(Baseline_Income_Projections,MATCH(K$2,'Country Sales &amp; Assumptions'!$G$13:$G$20,0),MATCH(Sales_Saudi_Arabia[[#This Row],[Year]],'Country Sales &amp; Assumptions'!$G$13:$L$13,0))*O6</f>
        <v>91031.5</v>
      </c>
      <c r="Q6" s="132" t="n">
        <f aca="false">+P6*0.06</f>
        <v>5461.89</v>
      </c>
      <c r="R6" s="132" t="n">
        <f aca="false">IF(Q6&lt;10000,10000-Q6,0)</f>
        <v>4538.11</v>
      </c>
      <c r="S6" s="133" t="n">
        <f aca="false">Q6+R6</f>
        <v>10000</v>
      </c>
      <c r="U6" s="134" t="s">
        <v>231</v>
      </c>
      <c r="V6" s="130" t="n">
        <v>45138</v>
      </c>
      <c r="W6" s="130" t="str">
        <f aca="false">"Year " &amp; TEXT(YEAR(V6) - 2023, "0")</f>
        <v>Year 0</v>
      </c>
      <c r="X6" s="130" t="str">
        <f aca="false">_xlfn.IFS(Y6&lt;90%,"Low",AND(Y6&gt;=90%,Y6&lt;=110%),"Medium", Y6&gt;110%,"High")</f>
        <v>Low</v>
      </c>
      <c r="Y6" s="131" t="n">
        <f aca="false">VLOOKUP(TEXT(V6,"mmmm"),Seasonality_Table_Gulf,2,0)</f>
        <v>0.7</v>
      </c>
      <c r="Z6" s="132" t="n">
        <f aca="false">INDEX(Baseline_Income_Projections,MATCH(U$2,'Country Sales &amp; Assumptions'!$G$13:$G$20,0),MATCH(Sales_Saudi_Arabia[[#This Row],[Year]],'Country Sales &amp; Assumptions'!$G$13:$L$13,0))*Y6</f>
        <v>98314.02</v>
      </c>
      <c r="AA6" s="132" t="n">
        <f aca="false">+Z6*0.06</f>
        <v>5898.8412</v>
      </c>
      <c r="AB6" s="132" t="n">
        <f aca="false">IF(AA6&lt;10000,10000-AA6,0)</f>
        <v>4101.1588</v>
      </c>
      <c r="AC6" s="132" t="n">
        <f aca="false">AA6+AB6</f>
        <v>10000</v>
      </c>
      <c r="AE6" s="134" t="s">
        <v>231</v>
      </c>
      <c r="AF6" s="130" t="n">
        <v>45138</v>
      </c>
      <c r="AG6" s="130" t="str">
        <f aca="false">"Year " &amp; TEXT(YEAR(AF6) - 2023, "0")</f>
        <v>Year 0</v>
      </c>
      <c r="AH6" s="130" t="str">
        <f aca="false">_xlfn.IFS(AI6&lt;90%,"Low",AND(AI6&gt;=90%,AI6&lt;=110%),"Medium", AI6&gt;110%,"High")</f>
        <v>Low</v>
      </c>
      <c r="AI6" s="131" t="n">
        <f aca="false">VLOOKUP(TEXT(AF6,"mmmm"),Seasonality_Table_Gulf,2,0)</f>
        <v>0.7</v>
      </c>
      <c r="AJ6" s="132" t="n">
        <f aca="false">INDEX(Baseline_Income_Projections,MATCH(AE$2,'Country Sales &amp; Assumptions'!$G$13:$G$20,0),MATCH(Sales_Saudi_Arabia[[#This Row],[Year]],'Country Sales &amp; Assumptions'!$G$13:$L$13,0))*AI6</f>
        <v>80107.72</v>
      </c>
      <c r="AK6" s="132" t="n">
        <f aca="false">+AJ6*0.06</f>
        <v>4806.4632</v>
      </c>
      <c r="AL6" s="132" t="n">
        <f aca="false">IF(AK6&lt;10000,10000-AK6,0)</f>
        <v>5193.5368</v>
      </c>
      <c r="AM6" s="132" t="n">
        <f aca="false">AK6+AL6</f>
        <v>10000</v>
      </c>
      <c r="AO6" s="134" t="s">
        <v>231</v>
      </c>
      <c r="AP6" s="130" t="n">
        <v>45138</v>
      </c>
      <c r="AQ6" s="130" t="str">
        <f aca="false">"Year " &amp; TEXT(YEAR(AP6) - 2023, "0")</f>
        <v>Year 0</v>
      </c>
      <c r="AR6" s="130" t="str">
        <f aca="false">_xlfn.IFS(AS6&lt;90%,"Low",AND(AS6&gt;=90%,AS6&lt;=110%),"Medium", AS6&gt;110%,"High")</f>
        <v>Medium</v>
      </c>
      <c r="AS6" s="131" t="n">
        <f aca="false">VLOOKUP(TEXT(AP6,"mmmm"),Seasonality_Table_Mediterranean,2,0)</f>
        <v>0.9</v>
      </c>
      <c r="AT6" s="132" t="n">
        <f aca="false">INDEX(Baseline_Income_Projections,MATCH(AO$2,'Country Sales &amp; Assumptions'!$G$13:$G$20,0),MATCH(Sales_Saudi_Arabia[[#This Row],[Year]],'Country Sales &amp; Assumptions'!$G$13:$L$13,0))*AS6</f>
        <v>98314.02</v>
      </c>
      <c r="AU6" s="132" t="n">
        <f aca="false">+AT6*0.06</f>
        <v>5898.8412</v>
      </c>
      <c r="AV6" s="132" t="n">
        <f aca="false">IF(AU6&lt;10000,10000-AU6,0)</f>
        <v>4101.1588</v>
      </c>
      <c r="AW6" s="132" t="n">
        <f aca="false">AU6+AV6</f>
        <v>10000</v>
      </c>
      <c r="AY6" s="134" t="s">
        <v>231</v>
      </c>
      <c r="AZ6" s="130" t="n">
        <v>45138</v>
      </c>
      <c r="BA6" s="130" t="str">
        <f aca="false">"Year " &amp; TEXT(YEAR(AZ6) - 2023, "0")</f>
        <v>Year 0</v>
      </c>
      <c r="BB6" s="130" t="str">
        <f aca="false">_xlfn.IFS(BC6&lt;90%,"Low",AND(BC6&gt;=90%,BC6&lt;=110%),"Medium", BC6&gt;110%,"High")</f>
        <v>Medium</v>
      </c>
      <c r="BC6" s="131" t="n">
        <f aca="false">VLOOKUP(TEXT(AZ6,"mmmm"),Seasonality_Table_Mediterranean,2,0)</f>
        <v>0.9</v>
      </c>
      <c r="BD6" s="132" t="n">
        <f aca="false">INDEX(Baseline_Income_Projections,MATCH(AY$2,'Country Sales &amp; Assumptions'!$G$13:$G$20,0),MATCH(Sales_Saudi_Arabia[[#This Row],[Year]],'Country Sales &amp; Assumptions'!$G$13:$L$13,0))*BC6</f>
        <v>88950.78</v>
      </c>
      <c r="BE6" s="132" t="n">
        <f aca="false">+BD6*0.06</f>
        <v>5337.0468</v>
      </c>
      <c r="BF6" s="132" t="n">
        <f aca="false">IF(BE6&lt;10000,10000-BE6,0)</f>
        <v>4662.9532</v>
      </c>
      <c r="BG6" s="132" t="n">
        <f aca="false">BE6+BF6</f>
        <v>10000</v>
      </c>
      <c r="BI6" s="134" t="s">
        <v>231</v>
      </c>
      <c r="BJ6" s="130" t="n">
        <v>45138</v>
      </c>
      <c r="BK6" s="130" t="str">
        <f aca="false">"Year " &amp; TEXT(YEAR(BJ6) - 2023, "0")</f>
        <v>Year 0</v>
      </c>
      <c r="BL6" s="130" t="str">
        <f aca="false">_xlfn.IFS(BM6&lt;90%,"Low",AND(BM6&gt;=90%,BM6&lt;=110%),"Medium", BM6&gt;110%,"High")</f>
        <v>Medium</v>
      </c>
      <c r="BM6" s="131" t="n">
        <f aca="false">VLOOKUP(TEXT(BJ6,"mmmm"),Seasonality_Table_Mediterranean,2,0)</f>
        <v>0.9</v>
      </c>
      <c r="BN6" s="132" t="n">
        <f aca="false">INDEX(Baseline_Income_Projections,MATCH(BI$2,'Country Sales &amp; Assumptions'!$G$13:$G$20,0),MATCH(Sales_Saudi_Arabia[[#This Row],[Year]],'Country Sales &amp; Assumptions'!$G$13:$L$13,0))*BM6</f>
        <v>84269.16</v>
      </c>
      <c r="BO6" s="132" t="n">
        <f aca="false">+BN6*0.06</f>
        <v>5056.1496</v>
      </c>
      <c r="BP6" s="132" t="n">
        <f aca="false">IF(BO6&lt;10000,10000-BO6,0)</f>
        <v>4943.8504</v>
      </c>
      <c r="BQ6" s="132" t="n">
        <f aca="false">BO6+BP6</f>
        <v>10000</v>
      </c>
    </row>
    <row r="7" customFormat="false" ht="11.25" hidden="false" customHeight="true" outlineLevel="0" collapsed="false">
      <c r="A7" s="125" t="s">
        <v>230</v>
      </c>
      <c r="B7" s="126" t="n">
        <v>45169</v>
      </c>
      <c r="C7" s="126" t="str">
        <f aca="false">"Year " &amp; TEXT(YEAR(B7) - 2023, "0")</f>
        <v>Year 0</v>
      </c>
      <c r="D7" s="126" t="str">
        <f aca="false">_xlfn.IFS(E7&lt;90%,"Low",AND(E7&gt;=90%,E7&lt;=110%),"Medium", E7&gt;110%,"High")</f>
        <v>Low</v>
      </c>
      <c r="E7" s="127" t="n">
        <f aca="false">VLOOKUP(TEXT(B7,"mmmm"),Seasonality_Table_Gulf,2,0)</f>
        <v>0.75</v>
      </c>
      <c r="F7" s="128" t="n">
        <v>133796</v>
      </c>
      <c r="G7" s="128" t="n">
        <f aca="false">+F7*0.06</f>
        <v>8027.76</v>
      </c>
      <c r="H7" s="128" t="n">
        <f aca="false">IF(G7&lt;10000,10000-G7,0)</f>
        <v>1972.24</v>
      </c>
      <c r="I7" s="128" t="n">
        <f aca="false">G7+H7</f>
        <v>10000</v>
      </c>
      <c r="K7" s="129" t="s">
        <v>231</v>
      </c>
      <c r="L7" s="130" t="n">
        <v>45169</v>
      </c>
      <c r="M7" s="130" t="str">
        <f aca="false">"Year " &amp; TEXT(YEAR(L7) - 2023, "0")</f>
        <v>Year 0</v>
      </c>
      <c r="N7" s="130" t="str">
        <f aca="false">_xlfn.IFS(O7&lt;90%,"Low",AND(O7&gt;=90%,O7&lt;=110%),"Medium", O7&gt;110%,"High")</f>
        <v>Low</v>
      </c>
      <c r="O7" s="131" t="n">
        <f aca="false">VLOOKUP(TEXT(L7,"mmmm"),Seasonality_Table_Gulf,2,0)</f>
        <v>0.75</v>
      </c>
      <c r="P7" s="132" t="n">
        <f aca="false">INDEX(Baseline_Income_Projections,MATCH(K$2,'Country Sales &amp; Assumptions'!$G$13:$G$20,0),MATCH(Sales_Saudi_Arabia[[#This Row],[Year]],'Country Sales &amp; Assumptions'!$G$13:$L$13,0))*O7</f>
        <v>97533.75</v>
      </c>
      <c r="Q7" s="132" t="n">
        <f aca="false">+P7*0.06</f>
        <v>5852.025</v>
      </c>
      <c r="R7" s="132" t="n">
        <f aca="false">IF(Q7&lt;10000,10000-Q7,0)</f>
        <v>4147.975</v>
      </c>
      <c r="S7" s="133" t="n">
        <f aca="false">Q7+R7</f>
        <v>10000</v>
      </c>
      <c r="U7" s="134" t="s">
        <v>231</v>
      </c>
      <c r="V7" s="130" t="n">
        <v>45169</v>
      </c>
      <c r="W7" s="130" t="str">
        <f aca="false">"Year " &amp; TEXT(YEAR(V7) - 2023, "0")</f>
        <v>Year 0</v>
      </c>
      <c r="X7" s="130" t="str">
        <f aca="false">_xlfn.IFS(Y7&lt;90%,"Low",AND(Y7&gt;=90%,Y7&lt;=110%),"Medium", Y7&gt;110%,"High")</f>
        <v>Low</v>
      </c>
      <c r="Y7" s="131" t="n">
        <f aca="false">VLOOKUP(TEXT(V7,"mmmm"),Seasonality_Table_Gulf,2,0)</f>
        <v>0.75</v>
      </c>
      <c r="Z7" s="132" t="n">
        <f aca="false">INDEX(Baseline_Income_Projections,MATCH(U$2,'Country Sales &amp; Assumptions'!$G$13:$G$20,0),MATCH(Sales_Saudi_Arabia[[#This Row],[Year]],'Country Sales &amp; Assumptions'!$G$13:$L$13,0))*Y7</f>
        <v>105336.45</v>
      </c>
      <c r="AA7" s="132" t="n">
        <f aca="false">+Z7*0.06</f>
        <v>6320.187</v>
      </c>
      <c r="AB7" s="132" t="n">
        <f aca="false">IF(AA7&lt;10000,10000-AA7,0)</f>
        <v>3679.813</v>
      </c>
      <c r="AC7" s="132" t="n">
        <f aca="false">AA7+AB7</f>
        <v>10000</v>
      </c>
      <c r="AE7" s="134" t="s">
        <v>231</v>
      </c>
      <c r="AF7" s="130" t="n">
        <v>45169</v>
      </c>
      <c r="AG7" s="130" t="str">
        <f aca="false">"Year " &amp; TEXT(YEAR(AF7) - 2023, "0")</f>
        <v>Year 0</v>
      </c>
      <c r="AH7" s="130" t="str">
        <f aca="false">_xlfn.IFS(AI7&lt;90%,"Low",AND(AI7&gt;=90%,AI7&lt;=110%),"Medium", AI7&gt;110%,"High")</f>
        <v>Low</v>
      </c>
      <c r="AI7" s="131" t="n">
        <f aca="false">VLOOKUP(TEXT(AF7,"mmmm"),Seasonality_Table_Gulf,2,0)</f>
        <v>0.75</v>
      </c>
      <c r="AJ7" s="132" t="n">
        <f aca="false">INDEX(Baseline_Income_Projections,MATCH(AE$2,'Country Sales &amp; Assumptions'!$G$13:$G$20,0),MATCH(Sales_Saudi_Arabia[[#This Row],[Year]],'Country Sales &amp; Assumptions'!$G$13:$L$13,0))*AI7</f>
        <v>85829.7</v>
      </c>
      <c r="AK7" s="132" t="n">
        <f aca="false">+AJ7*0.06</f>
        <v>5149.782</v>
      </c>
      <c r="AL7" s="132" t="n">
        <f aca="false">IF(AK7&lt;10000,10000-AK7,0)</f>
        <v>4850.218</v>
      </c>
      <c r="AM7" s="132" t="n">
        <f aca="false">AK7+AL7</f>
        <v>10000</v>
      </c>
      <c r="AO7" s="134" t="s">
        <v>231</v>
      </c>
      <c r="AP7" s="130" t="n">
        <v>45169</v>
      </c>
      <c r="AQ7" s="130" t="str">
        <f aca="false">"Year " &amp; TEXT(YEAR(AP7) - 2023, "0")</f>
        <v>Year 0</v>
      </c>
      <c r="AR7" s="130" t="str">
        <f aca="false">_xlfn.IFS(AS7&lt;90%,"Low",AND(AS7&gt;=90%,AS7&lt;=110%),"Medium", AS7&gt;110%,"High")</f>
        <v>Medium</v>
      </c>
      <c r="AS7" s="131" t="n">
        <f aca="false">VLOOKUP(TEXT(AP7,"mmmm"),Seasonality_Table_Mediterranean,2,0)</f>
        <v>0.9</v>
      </c>
      <c r="AT7" s="132" t="n">
        <f aca="false">INDEX(Baseline_Income_Projections,MATCH(AO$2,'Country Sales &amp; Assumptions'!$G$13:$G$20,0),MATCH(Sales_Saudi_Arabia[[#This Row],[Year]],'Country Sales &amp; Assumptions'!$G$13:$L$13,0))*AS7</f>
        <v>98314.02</v>
      </c>
      <c r="AU7" s="132" t="n">
        <f aca="false">+AT7*0.06</f>
        <v>5898.8412</v>
      </c>
      <c r="AV7" s="132" t="n">
        <f aca="false">IF(AU7&lt;10000,10000-AU7,0)</f>
        <v>4101.1588</v>
      </c>
      <c r="AW7" s="132" t="n">
        <f aca="false">AU7+AV7</f>
        <v>10000</v>
      </c>
      <c r="AY7" s="134" t="s">
        <v>231</v>
      </c>
      <c r="AZ7" s="130" t="n">
        <v>45169</v>
      </c>
      <c r="BA7" s="130" t="str">
        <f aca="false">"Year " &amp; TEXT(YEAR(AZ7) - 2023, "0")</f>
        <v>Year 0</v>
      </c>
      <c r="BB7" s="130" t="str">
        <f aca="false">_xlfn.IFS(BC7&lt;90%,"Low",AND(BC7&gt;=90%,BC7&lt;=110%),"Medium", BC7&gt;110%,"High")</f>
        <v>Medium</v>
      </c>
      <c r="BC7" s="131" t="n">
        <f aca="false">VLOOKUP(TEXT(AZ7,"mmmm"),Seasonality_Table_Mediterranean,2,0)</f>
        <v>0.9</v>
      </c>
      <c r="BD7" s="132" t="n">
        <f aca="false">INDEX(Baseline_Income_Projections,MATCH(AY$2,'Country Sales &amp; Assumptions'!$G$13:$G$20,0),MATCH(Sales_Saudi_Arabia[[#This Row],[Year]],'Country Sales &amp; Assumptions'!$G$13:$L$13,0))*BC7</f>
        <v>88950.78</v>
      </c>
      <c r="BE7" s="132" t="n">
        <f aca="false">+BD7*0.06</f>
        <v>5337.0468</v>
      </c>
      <c r="BF7" s="132" t="n">
        <f aca="false">IF(BE7&lt;10000,10000-BE7,0)</f>
        <v>4662.9532</v>
      </c>
      <c r="BG7" s="132" t="n">
        <f aca="false">BE7+BF7</f>
        <v>10000</v>
      </c>
      <c r="BI7" s="134" t="s">
        <v>231</v>
      </c>
      <c r="BJ7" s="130" t="n">
        <v>45169</v>
      </c>
      <c r="BK7" s="130" t="str">
        <f aca="false">"Year " &amp; TEXT(YEAR(BJ7) - 2023, "0")</f>
        <v>Year 0</v>
      </c>
      <c r="BL7" s="130" t="str">
        <f aca="false">_xlfn.IFS(BM7&lt;90%,"Low",AND(BM7&gt;=90%,BM7&lt;=110%),"Medium", BM7&gt;110%,"High")</f>
        <v>Medium</v>
      </c>
      <c r="BM7" s="131" t="n">
        <f aca="false">VLOOKUP(TEXT(BJ7,"mmmm"),Seasonality_Table_Mediterranean,2,0)</f>
        <v>0.9</v>
      </c>
      <c r="BN7" s="132" t="n">
        <f aca="false">INDEX(Baseline_Income_Projections,MATCH(BI$2,'Country Sales &amp; Assumptions'!$G$13:$G$20,0),MATCH(Sales_Saudi_Arabia[[#This Row],[Year]],'Country Sales &amp; Assumptions'!$G$13:$L$13,0))*BM7</f>
        <v>84269.16</v>
      </c>
      <c r="BO7" s="132" t="n">
        <f aca="false">+BN7*0.06</f>
        <v>5056.1496</v>
      </c>
      <c r="BP7" s="132" t="n">
        <f aca="false">IF(BO7&lt;10000,10000-BO7,0)</f>
        <v>4943.8504</v>
      </c>
      <c r="BQ7" s="132" t="n">
        <f aca="false">BO7+BP7</f>
        <v>10000</v>
      </c>
    </row>
    <row r="8" customFormat="false" ht="11.25" hidden="false" customHeight="true" outlineLevel="0" collapsed="false">
      <c r="A8" s="125" t="s">
        <v>230</v>
      </c>
      <c r="B8" s="126" t="n">
        <v>45199</v>
      </c>
      <c r="C8" s="126" t="str">
        <f aca="false">"Year " &amp; TEXT(YEAR(B8) - 2023, "0")</f>
        <v>Year 0</v>
      </c>
      <c r="D8" s="126" t="str">
        <f aca="false">_xlfn.IFS(E8&lt;90%,"Low",AND(E8&gt;=90%,E8&lt;=110%),"Medium", E8&gt;110%,"High")</f>
        <v>Medium</v>
      </c>
      <c r="E8" s="127" t="n">
        <f aca="false">VLOOKUP(TEXT(B8,"mmmm"),Seasonality_Table_Gulf,2,0)</f>
        <v>1</v>
      </c>
      <c r="F8" s="135" t="n">
        <v>104036</v>
      </c>
      <c r="G8" s="128" t="n">
        <f aca="false">+F8*0.06</f>
        <v>6242.16</v>
      </c>
      <c r="H8" s="128" t="n">
        <f aca="false">IF(G8&lt;10000,10000-G8,0)</f>
        <v>3757.84</v>
      </c>
      <c r="I8" s="128" t="n">
        <f aca="false">G8+H8</f>
        <v>10000</v>
      </c>
      <c r="K8" s="129" t="s">
        <v>231</v>
      </c>
      <c r="L8" s="130" t="n">
        <v>45199</v>
      </c>
      <c r="M8" s="130" t="str">
        <f aca="false">"Year " &amp; TEXT(YEAR(L8) - 2023, "0")</f>
        <v>Year 0</v>
      </c>
      <c r="N8" s="130" t="str">
        <f aca="false">_xlfn.IFS(O8&lt;90%,"Low",AND(O8&gt;=90%,O8&lt;=110%),"Medium", O8&gt;110%,"High")</f>
        <v>Medium</v>
      </c>
      <c r="O8" s="131" t="n">
        <f aca="false">VLOOKUP(TEXT(L8,"mmmm"),Seasonality_Table_Gulf,2,0)</f>
        <v>1</v>
      </c>
      <c r="P8" s="132" t="n">
        <f aca="false">INDEX(Baseline_Income_Projections,MATCH(K$2,'Country Sales &amp; Assumptions'!$G$13:$G$20,0),MATCH(Sales_Saudi_Arabia[[#This Row],[Year]],'Country Sales &amp; Assumptions'!$G$13:$L$13,0))*O8</f>
        <v>130045</v>
      </c>
      <c r="Q8" s="132" t="n">
        <f aca="false">+P8*0.06</f>
        <v>7802.7</v>
      </c>
      <c r="R8" s="132" t="n">
        <f aca="false">IF(Q8&lt;10000,10000-Q8,0)</f>
        <v>2197.3</v>
      </c>
      <c r="S8" s="133" t="n">
        <f aca="false">Q8+R8</f>
        <v>10000</v>
      </c>
      <c r="U8" s="134" t="s">
        <v>231</v>
      </c>
      <c r="V8" s="130" t="n">
        <v>45199</v>
      </c>
      <c r="W8" s="130" t="str">
        <f aca="false">"Year " &amp; TEXT(YEAR(V8) - 2023, "0")</f>
        <v>Year 0</v>
      </c>
      <c r="X8" s="130" t="str">
        <f aca="false">_xlfn.IFS(Y8&lt;90%,"Low",AND(Y8&gt;=90%,Y8&lt;=110%),"Medium", Y8&gt;110%,"High")</f>
        <v>Medium</v>
      </c>
      <c r="Y8" s="131" t="n">
        <f aca="false">VLOOKUP(TEXT(V8,"mmmm"),Seasonality_Table_Gulf,2,0)</f>
        <v>1</v>
      </c>
      <c r="Z8" s="132" t="n">
        <f aca="false">INDEX(Baseline_Income_Projections,MATCH(U$2,'Country Sales &amp; Assumptions'!$G$13:$G$20,0),MATCH(Sales_Saudi_Arabia[[#This Row],[Year]],'Country Sales &amp; Assumptions'!$G$13:$L$13,0))*Y8</f>
        <v>140448.6</v>
      </c>
      <c r="AA8" s="132" t="n">
        <f aca="false">+Z8*0.06</f>
        <v>8426.916</v>
      </c>
      <c r="AB8" s="132" t="n">
        <f aca="false">IF(AA8&lt;10000,10000-AA8,0)</f>
        <v>1573.084</v>
      </c>
      <c r="AC8" s="132" t="n">
        <f aca="false">AA8+AB8</f>
        <v>10000</v>
      </c>
      <c r="AE8" s="134" t="s">
        <v>231</v>
      </c>
      <c r="AF8" s="130" t="n">
        <v>45199</v>
      </c>
      <c r="AG8" s="130" t="str">
        <f aca="false">"Year " &amp; TEXT(YEAR(AF8) - 2023, "0")</f>
        <v>Year 0</v>
      </c>
      <c r="AH8" s="130" t="str">
        <f aca="false">_xlfn.IFS(AI8&lt;90%,"Low",AND(AI8&gt;=90%,AI8&lt;=110%),"Medium", AI8&gt;110%,"High")</f>
        <v>Medium</v>
      </c>
      <c r="AI8" s="131" t="n">
        <f aca="false">VLOOKUP(TEXT(AF8,"mmmm"),Seasonality_Table_Gulf,2,0)</f>
        <v>1</v>
      </c>
      <c r="AJ8" s="132" t="n">
        <f aca="false">INDEX(Baseline_Income_Projections,MATCH(AE$2,'Country Sales &amp; Assumptions'!$G$13:$G$20,0),MATCH(Sales_Saudi_Arabia[[#This Row],[Year]],'Country Sales &amp; Assumptions'!$G$13:$L$13,0))*AI8</f>
        <v>114439.6</v>
      </c>
      <c r="AK8" s="132" t="n">
        <f aca="false">+AJ8*0.06</f>
        <v>6866.376</v>
      </c>
      <c r="AL8" s="132" t="n">
        <f aca="false">IF(AK8&lt;10000,10000-AK8,0)</f>
        <v>3133.624</v>
      </c>
      <c r="AM8" s="132" t="n">
        <f aca="false">AK8+AL8</f>
        <v>10000</v>
      </c>
      <c r="AO8" s="134" t="s">
        <v>231</v>
      </c>
      <c r="AP8" s="130" t="n">
        <v>45199</v>
      </c>
      <c r="AQ8" s="130" t="str">
        <f aca="false">"Year " &amp; TEXT(YEAR(AP8) - 2023, "0")</f>
        <v>Year 0</v>
      </c>
      <c r="AR8" s="130" t="str">
        <f aca="false">_xlfn.IFS(AS8&lt;90%,"Low",AND(AS8&gt;=90%,AS8&lt;=110%),"Medium", AS8&gt;110%,"High")</f>
        <v>Medium</v>
      </c>
      <c r="AS8" s="131" t="n">
        <f aca="false">VLOOKUP(TEXT(AP8,"mmmm"),Seasonality_Table_Mediterranean,2,0)</f>
        <v>1.1</v>
      </c>
      <c r="AT8" s="132" t="n">
        <f aca="false">INDEX(Baseline_Income_Projections,MATCH(AO$2,'Country Sales &amp; Assumptions'!$G$13:$G$20,0),MATCH(Sales_Saudi_Arabia[[#This Row],[Year]],'Country Sales &amp; Assumptions'!$G$13:$L$13,0))*AS8</f>
        <v>120161.58</v>
      </c>
      <c r="AU8" s="132" t="n">
        <f aca="false">+AT8*0.06</f>
        <v>7209.6948</v>
      </c>
      <c r="AV8" s="132" t="n">
        <f aca="false">IF(AU8&lt;10000,10000-AU8,0)</f>
        <v>2790.3052</v>
      </c>
      <c r="AW8" s="132" t="n">
        <f aca="false">AU8+AV8</f>
        <v>10000</v>
      </c>
      <c r="AY8" s="134" t="s">
        <v>231</v>
      </c>
      <c r="AZ8" s="130" t="n">
        <v>45199</v>
      </c>
      <c r="BA8" s="130" t="str">
        <f aca="false">"Year " &amp; TEXT(YEAR(AZ8) - 2023, "0")</f>
        <v>Year 0</v>
      </c>
      <c r="BB8" s="130" t="str">
        <f aca="false">_xlfn.IFS(BC8&lt;90%,"Low",AND(BC8&gt;=90%,BC8&lt;=110%),"Medium", BC8&gt;110%,"High")</f>
        <v>Medium</v>
      </c>
      <c r="BC8" s="131" t="n">
        <f aca="false">VLOOKUP(TEXT(AZ8,"mmmm"),Seasonality_Table_Mediterranean,2,0)</f>
        <v>1.1</v>
      </c>
      <c r="BD8" s="132" t="n">
        <f aca="false">INDEX(Baseline_Income_Projections,MATCH(AY$2,'Country Sales &amp; Assumptions'!$G$13:$G$20,0),MATCH(Sales_Saudi_Arabia[[#This Row],[Year]],'Country Sales &amp; Assumptions'!$G$13:$L$13,0))*BC8</f>
        <v>108717.62</v>
      </c>
      <c r="BE8" s="132" t="n">
        <f aca="false">+BD8*0.06</f>
        <v>6523.0572</v>
      </c>
      <c r="BF8" s="132" t="n">
        <f aca="false">IF(BE8&lt;10000,10000-BE8,0)</f>
        <v>3476.9428</v>
      </c>
      <c r="BG8" s="132" t="n">
        <f aca="false">BE8+BF8</f>
        <v>10000</v>
      </c>
      <c r="BI8" s="134" t="s">
        <v>231</v>
      </c>
      <c r="BJ8" s="130" t="n">
        <v>45199</v>
      </c>
      <c r="BK8" s="130" t="str">
        <f aca="false">"Year " &amp; TEXT(YEAR(BJ8) - 2023, "0")</f>
        <v>Year 0</v>
      </c>
      <c r="BL8" s="130" t="str">
        <f aca="false">_xlfn.IFS(BM8&lt;90%,"Low",AND(BM8&gt;=90%,BM8&lt;=110%),"Medium", BM8&gt;110%,"High")</f>
        <v>Medium</v>
      </c>
      <c r="BM8" s="131" t="n">
        <f aca="false">VLOOKUP(TEXT(BJ8,"mmmm"),Seasonality_Table_Mediterranean,2,0)</f>
        <v>1.1</v>
      </c>
      <c r="BN8" s="132" t="n">
        <f aca="false">INDEX(Baseline_Income_Projections,MATCH(BI$2,'Country Sales &amp; Assumptions'!$G$13:$G$20,0),MATCH(Sales_Saudi_Arabia[[#This Row],[Year]],'Country Sales &amp; Assumptions'!$G$13:$L$13,0))*BM8</f>
        <v>102995.64</v>
      </c>
      <c r="BO8" s="132" t="n">
        <f aca="false">+BN8*0.06</f>
        <v>6179.7384</v>
      </c>
      <c r="BP8" s="132" t="n">
        <f aca="false">IF(BO8&lt;10000,10000-BO8,0)</f>
        <v>3820.2616</v>
      </c>
      <c r="BQ8" s="132" t="n">
        <f aca="false">BO8+BP8</f>
        <v>10000</v>
      </c>
    </row>
    <row r="9" customFormat="false" ht="11.25" hidden="false" customHeight="true" outlineLevel="0" collapsed="false">
      <c r="A9" s="125" t="s">
        <v>230</v>
      </c>
      <c r="B9" s="126" t="n">
        <v>45230</v>
      </c>
      <c r="C9" s="126" t="str">
        <f aca="false">"Year " &amp; TEXT(YEAR(B9) - 2023, "0")</f>
        <v>Year 0</v>
      </c>
      <c r="D9" s="126" t="str">
        <f aca="false">_xlfn.IFS(E9&lt;90%,"Low",AND(E9&gt;=90%,E9&lt;=110%),"Medium", E9&gt;110%,"High")</f>
        <v>Medium</v>
      </c>
      <c r="E9" s="127" t="n">
        <f aca="false">VLOOKUP(TEXT(B9,"mmmm"),Seasonality_Table_Gulf,2,0)</f>
        <v>1.1</v>
      </c>
      <c r="F9" s="128" t="n">
        <v>111073</v>
      </c>
      <c r="G9" s="128" t="n">
        <f aca="false">+F9*0.06</f>
        <v>6664.38</v>
      </c>
      <c r="H9" s="128" t="n">
        <f aca="false">IF(G9&lt;10000,10000-G9,0)</f>
        <v>3335.62</v>
      </c>
      <c r="I9" s="128" t="n">
        <f aca="false">G9+H9</f>
        <v>10000</v>
      </c>
      <c r="K9" s="129" t="s">
        <v>231</v>
      </c>
      <c r="L9" s="130" t="n">
        <v>45230</v>
      </c>
      <c r="M9" s="130" t="str">
        <f aca="false">"Year " &amp; TEXT(YEAR(L9) - 2023, "0")</f>
        <v>Year 0</v>
      </c>
      <c r="N9" s="130" t="str">
        <f aca="false">_xlfn.IFS(O9&lt;90%,"Low",AND(O9&gt;=90%,O9&lt;=110%),"Medium", O9&gt;110%,"High")</f>
        <v>Medium</v>
      </c>
      <c r="O9" s="131" t="n">
        <f aca="false">VLOOKUP(TEXT(L9,"mmmm"),Seasonality_Table_Gulf,2,0)</f>
        <v>1.1</v>
      </c>
      <c r="P9" s="132" t="n">
        <f aca="false">INDEX(Baseline_Income_Projections,MATCH(K$2,'Country Sales &amp; Assumptions'!$G$13:$G$20,0),MATCH(Sales_Saudi_Arabia[[#This Row],[Year]],'Country Sales &amp; Assumptions'!$G$13:$L$13,0))*O9</f>
        <v>143049.5</v>
      </c>
      <c r="Q9" s="132" t="n">
        <f aca="false">+P9*0.06</f>
        <v>8582.97</v>
      </c>
      <c r="R9" s="132" t="n">
        <f aca="false">IF(Q9&lt;10000,10000-Q9,0)</f>
        <v>1417.03</v>
      </c>
      <c r="S9" s="133" t="n">
        <f aca="false">Q9+R9</f>
        <v>10000</v>
      </c>
      <c r="U9" s="134" t="s">
        <v>231</v>
      </c>
      <c r="V9" s="130" t="n">
        <v>45230</v>
      </c>
      <c r="W9" s="130" t="str">
        <f aca="false">"Year " &amp; TEXT(YEAR(V9) - 2023, "0")</f>
        <v>Year 0</v>
      </c>
      <c r="X9" s="130" t="str">
        <f aca="false">_xlfn.IFS(Y9&lt;90%,"Low",AND(Y9&gt;=90%,Y9&lt;=110%),"Medium", Y9&gt;110%,"High")</f>
        <v>Medium</v>
      </c>
      <c r="Y9" s="131" t="n">
        <f aca="false">VLOOKUP(TEXT(V9,"mmmm"),Seasonality_Table_Gulf,2,0)</f>
        <v>1.1</v>
      </c>
      <c r="Z9" s="132" t="n">
        <f aca="false">INDEX(Baseline_Income_Projections,MATCH(U$2,'Country Sales &amp; Assumptions'!$G$13:$G$20,0),MATCH(Sales_Saudi_Arabia[[#This Row],[Year]],'Country Sales &amp; Assumptions'!$G$13:$L$13,0))*Y9</f>
        <v>154493.46</v>
      </c>
      <c r="AA9" s="132" t="n">
        <f aca="false">+Z9*0.06</f>
        <v>9269.6076</v>
      </c>
      <c r="AB9" s="132" t="n">
        <f aca="false">IF(AA9&lt;10000,10000-AA9,0)</f>
        <v>730.392399999999</v>
      </c>
      <c r="AC9" s="132" t="n">
        <f aca="false">AA9+AB9</f>
        <v>10000</v>
      </c>
      <c r="AE9" s="134" t="s">
        <v>231</v>
      </c>
      <c r="AF9" s="130" t="n">
        <v>45230</v>
      </c>
      <c r="AG9" s="130" t="str">
        <f aca="false">"Year " &amp; TEXT(YEAR(AF9) - 2023, "0")</f>
        <v>Year 0</v>
      </c>
      <c r="AH9" s="130" t="str">
        <f aca="false">_xlfn.IFS(AI9&lt;90%,"Low",AND(AI9&gt;=90%,AI9&lt;=110%),"Medium", AI9&gt;110%,"High")</f>
        <v>Medium</v>
      </c>
      <c r="AI9" s="131" t="n">
        <f aca="false">VLOOKUP(TEXT(AF9,"mmmm"),Seasonality_Table_Gulf,2,0)</f>
        <v>1.1</v>
      </c>
      <c r="AJ9" s="132" t="n">
        <f aca="false">INDEX(Baseline_Income_Projections,MATCH(AE$2,'Country Sales &amp; Assumptions'!$G$13:$G$20,0),MATCH(Sales_Saudi_Arabia[[#This Row],[Year]],'Country Sales &amp; Assumptions'!$G$13:$L$13,0))*AI9</f>
        <v>125883.56</v>
      </c>
      <c r="AK9" s="132" t="n">
        <f aca="false">+AJ9*0.06</f>
        <v>7553.0136</v>
      </c>
      <c r="AL9" s="132" t="n">
        <f aca="false">IF(AK9&lt;10000,10000-AK9,0)</f>
        <v>2446.9864</v>
      </c>
      <c r="AM9" s="132" t="n">
        <f aca="false">AK9+AL9</f>
        <v>10000</v>
      </c>
      <c r="AO9" s="134" t="s">
        <v>231</v>
      </c>
      <c r="AP9" s="130" t="n">
        <v>45230</v>
      </c>
      <c r="AQ9" s="130" t="str">
        <f aca="false">"Year " &amp; TEXT(YEAR(AP9) - 2023, "0")</f>
        <v>Year 0</v>
      </c>
      <c r="AR9" s="130" t="str">
        <f aca="false">_xlfn.IFS(AS9&lt;90%,"Low",AND(AS9&gt;=90%,AS9&lt;=110%),"Medium", AS9&gt;110%,"High")</f>
        <v>High</v>
      </c>
      <c r="AS9" s="131" t="n">
        <f aca="false">VLOOKUP(TEXT(AP9,"mmmm"),Seasonality_Table_Mediterranean,2,0)</f>
        <v>1.2</v>
      </c>
      <c r="AT9" s="132" t="n">
        <f aca="false">INDEX(Baseline_Income_Projections,MATCH(AO$2,'Country Sales &amp; Assumptions'!$G$13:$G$20,0),MATCH(Sales_Saudi_Arabia[[#This Row],[Year]],'Country Sales &amp; Assumptions'!$G$13:$L$13,0))*AS9</f>
        <v>131085.36</v>
      </c>
      <c r="AU9" s="132" t="n">
        <f aca="false">+AT9*0.06</f>
        <v>7865.1216</v>
      </c>
      <c r="AV9" s="132" t="n">
        <f aca="false">IF(AU9&lt;10000,10000-AU9,0)</f>
        <v>2134.8784</v>
      </c>
      <c r="AW9" s="132" t="n">
        <f aca="false">AU9+AV9</f>
        <v>10000</v>
      </c>
      <c r="AY9" s="134" t="s">
        <v>231</v>
      </c>
      <c r="AZ9" s="130" t="n">
        <v>45230</v>
      </c>
      <c r="BA9" s="130" t="str">
        <f aca="false">"Year " &amp; TEXT(YEAR(AZ9) - 2023, "0")</f>
        <v>Year 0</v>
      </c>
      <c r="BB9" s="130" t="str">
        <f aca="false">_xlfn.IFS(BC9&lt;90%,"Low",AND(BC9&gt;=90%,BC9&lt;=110%),"Medium", BC9&gt;110%,"High")</f>
        <v>High</v>
      </c>
      <c r="BC9" s="131" t="n">
        <f aca="false">VLOOKUP(TEXT(AZ9,"mmmm"),Seasonality_Table_Mediterranean,2,0)</f>
        <v>1.2</v>
      </c>
      <c r="BD9" s="132" t="n">
        <f aca="false">INDEX(Baseline_Income_Projections,MATCH(AY$2,'Country Sales &amp; Assumptions'!$G$13:$G$20,0),MATCH(Sales_Saudi_Arabia[[#This Row],[Year]],'Country Sales &amp; Assumptions'!$G$13:$L$13,0))*BC9</f>
        <v>118601.04</v>
      </c>
      <c r="BE9" s="132" t="n">
        <f aca="false">+BD9*0.06</f>
        <v>7116.0624</v>
      </c>
      <c r="BF9" s="132" t="n">
        <f aca="false">IF(BE9&lt;10000,10000-BE9,0)</f>
        <v>2883.9376</v>
      </c>
      <c r="BG9" s="132" t="n">
        <f aca="false">BE9+BF9</f>
        <v>10000</v>
      </c>
      <c r="BI9" s="134" t="s">
        <v>231</v>
      </c>
      <c r="BJ9" s="130" t="n">
        <v>45230</v>
      </c>
      <c r="BK9" s="130" t="str">
        <f aca="false">"Year " &amp; TEXT(YEAR(BJ9) - 2023, "0")</f>
        <v>Year 0</v>
      </c>
      <c r="BL9" s="130" t="str">
        <f aca="false">_xlfn.IFS(BM9&lt;90%,"Low",AND(BM9&gt;=90%,BM9&lt;=110%),"Medium", BM9&gt;110%,"High")</f>
        <v>High</v>
      </c>
      <c r="BM9" s="131" t="n">
        <f aca="false">VLOOKUP(TEXT(BJ9,"mmmm"),Seasonality_Table_Mediterranean,2,0)</f>
        <v>1.2</v>
      </c>
      <c r="BN9" s="132" t="n">
        <f aca="false">INDEX(Baseline_Income_Projections,MATCH(BI$2,'Country Sales &amp; Assumptions'!$G$13:$G$20,0),MATCH(Sales_Saudi_Arabia[[#This Row],[Year]],'Country Sales &amp; Assumptions'!$G$13:$L$13,0))*BM9</f>
        <v>112358.88</v>
      </c>
      <c r="BO9" s="132" t="n">
        <f aca="false">+BN9*0.06</f>
        <v>6741.5328</v>
      </c>
      <c r="BP9" s="132" t="n">
        <f aca="false">IF(BO9&lt;10000,10000-BO9,0)</f>
        <v>3258.4672</v>
      </c>
      <c r="BQ9" s="132" t="n">
        <f aca="false">BO9+BP9</f>
        <v>10000</v>
      </c>
    </row>
    <row r="10" customFormat="false" ht="11.25" hidden="false" customHeight="true" outlineLevel="0" collapsed="false">
      <c r="A10" s="134" t="s">
        <v>231</v>
      </c>
      <c r="B10" s="130" t="n">
        <v>45260</v>
      </c>
      <c r="C10" s="130" t="str">
        <f aca="false">"Year " &amp; TEXT(YEAR(B10) - 2023, "0")</f>
        <v>Year 0</v>
      </c>
      <c r="D10" s="130" t="str">
        <f aca="false">_xlfn.IFS(E10&lt;90%,"Low",AND(E10&gt;=90%,E10&lt;=110%),"Medium", E10&gt;110%,"High")</f>
        <v>High</v>
      </c>
      <c r="E10" s="131" t="n">
        <f aca="false">VLOOKUP(TEXT(B10,"mmmm"),Seasonality_Table_Gulf,2,0)</f>
        <v>1.2</v>
      </c>
      <c r="F10" s="132" t="n">
        <f aca="false">INDEX(Baseline_Income_Projections,MATCH("Saudi Arabia",'Country Sales &amp; Assumptions'!$G$13:$G$20,0),MATCH(Sales_Saudi_Arabia[[#This Row],[Year]],'Country Sales &amp; Assumptions'!$G$13:$L$13,0))*E10</f>
        <v>124843.2</v>
      </c>
      <c r="G10" s="132" t="n">
        <f aca="false">+F10*0.06</f>
        <v>7490.592</v>
      </c>
      <c r="H10" s="132" t="n">
        <f aca="false">IF(G10&lt;10000,10000-G10,0)</f>
        <v>2509.408</v>
      </c>
      <c r="I10" s="132" t="n">
        <f aca="false">G10+H10</f>
        <v>10000</v>
      </c>
      <c r="K10" s="129" t="s">
        <v>231</v>
      </c>
      <c r="L10" s="130" t="n">
        <v>45260</v>
      </c>
      <c r="M10" s="130" t="str">
        <f aca="false">"Year " &amp; TEXT(YEAR(L10) - 2023, "0")</f>
        <v>Year 0</v>
      </c>
      <c r="N10" s="130" t="str">
        <f aca="false">_xlfn.IFS(O10&lt;90%,"Low",AND(O10&gt;=90%,O10&lt;=110%),"Medium", O10&gt;110%,"High")</f>
        <v>High</v>
      </c>
      <c r="O10" s="131" t="n">
        <f aca="false">VLOOKUP(TEXT(L10,"mmmm"),Seasonality_Table_Gulf,2,0)</f>
        <v>1.2</v>
      </c>
      <c r="P10" s="132" t="n">
        <f aca="false">INDEX(Baseline_Income_Projections,MATCH(K$2,'Country Sales &amp; Assumptions'!$G$13:$G$20,0),MATCH(Sales_Saudi_Arabia[[#This Row],[Year]],'Country Sales &amp; Assumptions'!$G$13:$L$13,0))*O10</f>
        <v>156054</v>
      </c>
      <c r="Q10" s="132" t="n">
        <f aca="false">+P10*0.06</f>
        <v>9363.24</v>
      </c>
      <c r="R10" s="132" t="n">
        <f aca="false">IF(Q10&lt;10000,10000-Q10,0)</f>
        <v>636.76</v>
      </c>
      <c r="S10" s="133" t="n">
        <f aca="false">Q10+R10</f>
        <v>10000</v>
      </c>
      <c r="U10" s="134" t="s">
        <v>231</v>
      </c>
      <c r="V10" s="130" t="n">
        <v>45260</v>
      </c>
      <c r="W10" s="130" t="str">
        <f aca="false">"Year " &amp; TEXT(YEAR(V10) - 2023, "0")</f>
        <v>Year 0</v>
      </c>
      <c r="X10" s="130" t="str">
        <f aca="false">_xlfn.IFS(Y10&lt;90%,"Low",AND(Y10&gt;=90%,Y10&lt;=110%),"Medium", Y10&gt;110%,"High")</f>
        <v>High</v>
      </c>
      <c r="Y10" s="131" t="n">
        <f aca="false">VLOOKUP(TEXT(V10,"mmmm"),Seasonality_Table_Gulf,2,0)</f>
        <v>1.2</v>
      </c>
      <c r="Z10" s="132" t="n">
        <f aca="false">INDEX(Baseline_Income_Projections,MATCH(U$2,'Country Sales &amp; Assumptions'!$G$13:$G$20,0),MATCH(Sales_Saudi_Arabia[[#This Row],[Year]],'Country Sales &amp; Assumptions'!$G$13:$L$13,0))*Y10</f>
        <v>168538.32</v>
      </c>
      <c r="AA10" s="132" t="n">
        <f aca="false">+Z10*0.06</f>
        <v>10112.2992</v>
      </c>
      <c r="AB10" s="132" t="n">
        <f aca="false">IF(AA10&lt;10000,10000-AA10,0)</f>
        <v>0</v>
      </c>
      <c r="AC10" s="132" t="n">
        <f aca="false">AA10+AB10</f>
        <v>10112.2992</v>
      </c>
      <c r="AE10" s="134" t="s">
        <v>231</v>
      </c>
      <c r="AF10" s="130" t="n">
        <v>45260</v>
      </c>
      <c r="AG10" s="130" t="str">
        <f aca="false">"Year " &amp; TEXT(YEAR(AF10) - 2023, "0")</f>
        <v>Year 0</v>
      </c>
      <c r="AH10" s="130" t="str">
        <f aca="false">_xlfn.IFS(AI10&lt;90%,"Low",AND(AI10&gt;=90%,AI10&lt;=110%),"Medium", AI10&gt;110%,"High")</f>
        <v>High</v>
      </c>
      <c r="AI10" s="131" t="n">
        <f aca="false">VLOOKUP(TEXT(AF10,"mmmm"),Seasonality_Table_Gulf,2,0)</f>
        <v>1.2</v>
      </c>
      <c r="AJ10" s="132" t="n">
        <f aca="false">INDEX(Baseline_Income_Projections,MATCH(AE$2,'Country Sales &amp; Assumptions'!$G$13:$G$20,0),MATCH(Sales_Saudi_Arabia[[#This Row],[Year]],'Country Sales &amp; Assumptions'!$G$13:$L$13,0))*AI10</f>
        <v>137327.52</v>
      </c>
      <c r="AK10" s="132" t="n">
        <f aca="false">+AJ10*0.06</f>
        <v>8239.6512</v>
      </c>
      <c r="AL10" s="132" t="n">
        <f aca="false">IF(AK10&lt;10000,10000-AK10,0)</f>
        <v>1760.3488</v>
      </c>
      <c r="AM10" s="132" t="n">
        <f aca="false">AK10+AL10</f>
        <v>10000</v>
      </c>
      <c r="AO10" s="134" t="s">
        <v>231</v>
      </c>
      <c r="AP10" s="130" t="n">
        <v>45260</v>
      </c>
      <c r="AQ10" s="130" t="str">
        <f aca="false">"Year " &amp; TEXT(YEAR(AP10) - 2023, "0")</f>
        <v>Year 0</v>
      </c>
      <c r="AR10" s="130" t="str">
        <f aca="false">_xlfn.IFS(AS10&lt;90%,"Low",AND(AS10&gt;=90%,AS10&lt;=110%),"Medium", AS10&gt;110%,"High")</f>
        <v>Medium</v>
      </c>
      <c r="AS10" s="131" t="n">
        <f aca="false">VLOOKUP(TEXT(AP10,"mmmm"),Seasonality_Table_Mediterranean,2,0)</f>
        <v>1</v>
      </c>
      <c r="AT10" s="132" t="n">
        <f aca="false">INDEX(Baseline_Income_Projections,MATCH(AO$2,'Country Sales &amp; Assumptions'!$G$13:$G$20,0),MATCH(Sales_Saudi_Arabia[[#This Row],[Year]],'Country Sales &amp; Assumptions'!$G$13:$L$13,0))*AS10</f>
        <v>109237.8</v>
      </c>
      <c r="AU10" s="132" t="n">
        <f aca="false">+AT10*0.06</f>
        <v>6554.268</v>
      </c>
      <c r="AV10" s="132" t="n">
        <f aca="false">IF(AU10&lt;10000,10000-AU10,0)</f>
        <v>3445.732</v>
      </c>
      <c r="AW10" s="132" t="n">
        <f aca="false">AU10+AV10</f>
        <v>10000</v>
      </c>
      <c r="AY10" s="134" t="s">
        <v>231</v>
      </c>
      <c r="AZ10" s="130" t="n">
        <v>45260</v>
      </c>
      <c r="BA10" s="130" t="str">
        <f aca="false">"Year " &amp; TEXT(YEAR(AZ10) - 2023, "0")</f>
        <v>Year 0</v>
      </c>
      <c r="BB10" s="130" t="str">
        <f aca="false">_xlfn.IFS(BC10&lt;90%,"Low",AND(BC10&gt;=90%,BC10&lt;=110%),"Medium", BC10&gt;110%,"High")</f>
        <v>Medium</v>
      </c>
      <c r="BC10" s="131" t="n">
        <f aca="false">VLOOKUP(TEXT(AZ10,"mmmm"),Seasonality_Table_Mediterranean,2,0)</f>
        <v>1</v>
      </c>
      <c r="BD10" s="132" t="n">
        <f aca="false">INDEX(Baseline_Income_Projections,MATCH(AY$2,'Country Sales &amp; Assumptions'!$G$13:$G$20,0),MATCH(Sales_Saudi_Arabia[[#This Row],[Year]],'Country Sales &amp; Assumptions'!$G$13:$L$13,0))*BC10</f>
        <v>98834.2</v>
      </c>
      <c r="BE10" s="132" t="n">
        <f aca="false">+BD10*0.06</f>
        <v>5930.052</v>
      </c>
      <c r="BF10" s="132" t="n">
        <f aca="false">IF(BE10&lt;10000,10000-BE10,0)</f>
        <v>4069.948</v>
      </c>
      <c r="BG10" s="132" t="n">
        <f aca="false">BE10+BF10</f>
        <v>10000</v>
      </c>
      <c r="BI10" s="134" t="s">
        <v>231</v>
      </c>
      <c r="BJ10" s="130" t="n">
        <v>45260</v>
      </c>
      <c r="BK10" s="130" t="str">
        <f aca="false">"Year " &amp; TEXT(YEAR(BJ10) - 2023, "0")</f>
        <v>Year 0</v>
      </c>
      <c r="BL10" s="130" t="str">
        <f aca="false">_xlfn.IFS(BM10&lt;90%,"Low",AND(BM10&gt;=90%,BM10&lt;=110%),"Medium", BM10&gt;110%,"High")</f>
        <v>Medium</v>
      </c>
      <c r="BM10" s="131" t="n">
        <f aca="false">VLOOKUP(TEXT(BJ10,"mmmm"),Seasonality_Table_Mediterranean,2,0)</f>
        <v>1</v>
      </c>
      <c r="BN10" s="132" t="n">
        <f aca="false">INDEX(Baseline_Income_Projections,MATCH(BI$2,'Country Sales &amp; Assumptions'!$G$13:$G$20,0),MATCH(Sales_Saudi_Arabia[[#This Row],[Year]],'Country Sales &amp; Assumptions'!$G$13:$L$13,0))*BM10</f>
        <v>93632.4</v>
      </c>
      <c r="BO10" s="132" t="n">
        <f aca="false">+BN10*0.06</f>
        <v>5617.944</v>
      </c>
      <c r="BP10" s="132" t="n">
        <f aca="false">IF(BO10&lt;10000,10000-BO10,0)</f>
        <v>4382.056</v>
      </c>
      <c r="BQ10" s="132" t="n">
        <f aca="false">BO10+BP10</f>
        <v>10000</v>
      </c>
    </row>
    <row r="11" customFormat="false" ht="11.25" hidden="false" customHeight="true" outlineLevel="0" collapsed="false">
      <c r="A11" s="134" t="s">
        <v>231</v>
      </c>
      <c r="B11" s="130" t="n">
        <v>45291</v>
      </c>
      <c r="C11" s="130" t="str">
        <f aca="false">"Year " &amp; TEXT(YEAR(B11) - 2023, "0")</f>
        <v>Year 0</v>
      </c>
      <c r="D11" s="130" t="str">
        <f aca="false">_xlfn.IFS(E11&lt;90%,"Low",AND(E11&gt;=90%,E11&lt;=110%),"Medium", E11&gt;110%,"High")</f>
        <v>High</v>
      </c>
      <c r="E11" s="131" t="n">
        <f aca="false">VLOOKUP(TEXT(B11,"mmmm"),Seasonality_Table_Gulf,2,0)</f>
        <v>1.3</v>
      </c>
      <c r="F11" s="132" t="n">
        <f aca="false">INDEX(Baseline_Income_Projections,MATCH("Saudi Arabia",'Country Sales &amp; Assumptions'!$G$13:$G$20,0),MATCH(Sales_Saudi_Arabia[[#This Row],[Year]],'Country Sales &amp; Assumptions'!$G$13:$L$13,0))*E11</f>
        <v>135246.8</v>
      </c>
      <c r="G11" s="132" t="n">
        <f aca="false">+F11*0.06</f>
        <v>8114.808</v>
      </c>
      <c r="H11" s="132" t="n">
        <f aca="false">IF(G11&lt;10000,10000-G11,0)</f>
        <v>1885.192</v>
      </c>
      <c r="I11" s="132" t="n">
        <f aca="false">G11+H11</f>
        <v>10000</v>
      </c>
      <c r="K11" s="129" t="s">
        <v>231</v>
      </c>
      <c r="L11" s="130" t="n">
        <v>45291</v>
      </c>
      <c r="M11" s="130" t="str">
        <f aca="false">"Year " &amp; TEXT(YEAR(L11) - 2023, "0")</f>
        <v>Year 0</v>
      </c>
      <c r="N11" s="130" t="str">
        <f aca="false">_xlfn.IFS(O11&lt;90%,"Low",AND(O11&gt;=90%,O11&lt;=110%),"Medium", O11&gt;110%,"High")</f>
        <v>High</v>
      </c>
      <c r="O11" s="131" t="n">
        <f aca="false">VLOOKUP(TEXT(L11,"mmmm"),Seasonality_Table_Gulf,2,0)</f>
        <v>1.3</v>
      </c>
      <c r="P11" s="132" t="n">
        <f aca="false">INDEX(Baseline_Income_Projections,MATCH(K$2,'Country Sales &amp; Assumptions'!$G$13:$G$20,0),MATCH(Sales_Saudi_Arabia[[#This Row],[Year]],'Country Sales &amp; Assumptions'!$G$13:$L$13,0))*O11</f>
        <v>169058.5</v>
      </c>
      <c r="Q11" s="132" t="n">
        <f aca="false">+P11*0.06</f>
        <v>10143.51</v>
      </c>
      <c r="R11" s="132" t="n">
        <f aca="false">IF(Q11&lt;10000,10000-Q11,0)</f>
        <v>0</v>
      </c>
      <c r="S11" s="133" t="n">
        <f aca="false">Q11+R11</f>
        <v>10143.51</v>
      </c>
      <c r="U11" s="134" t="s">
        <v>231</v>
      </c>
      <c r="V11" s="130" t="n">
        <v>45291</v>
      </c>
      <c r="W11" s="130" t="str">
        <f aca="false">"Year " &amp; TEXT(YEAR(V11) - 2023, "0")</f>
        <v>Year 0</v>
      </c>
      <c r="X11" s="130" t="str">
        <f aca="false">_xlfn.IFS(Y11&lt;90%,"Low",AND(Y11&gt;=90%,Y11&lt;=110%),"Medium", Y11&gt;110%,"High")</f>
        <v>High</v>
      </c>
      <c r="Y11" s="131" t="n">
        <f aca="false">VLOOKUP(TEXT(V11,"mmmm"),Seasonality_Table_Gulf,2,0)</f>
        <v>1.3</v>
      </c>
      <c r="Z11" s="132" t="n">
        <f aca="false">INDEX(Baseline_Income_Projections,MATCH(U$2,'Country Sales &amp; Assumptions'!$G$13:$G$20,0),MATCH(Sales_Saudi_Arabia[[#This Row],[Year]],'Country Sales &amp; Assumptions'!$G$13:$L$13,0))*Y11</f>
        <v>182583.18</v>
      </c>
      <c r="AA11" s="132" t="n">
        <f aca="false">+Z11*0.06</f>
        <v>10954.9908</v>
      </c>
      <c r="AB11" s="132" t="n">
        <f aca="false">IF(AA11&lt;10000,10000-AA11,0)</f>
        <v>0</v>
      </c>
      <c r="AC11" s="132" t="n">
        <f aca="false">AA11+AB11</f>
        <v>10954.9908</v>
      </c>
      <c r="AE11" s="134" t="s">
        <v>231</v>
      </c>
      <c r="AF11" s="130" t="n">
        <v>45291</v>
      </c>
      <c r="AG11" s="130" t="str">
        <f aca="false">"Year " &amp; TEXT(YEAR(AF11) - 2023, "0")</f>
        <v>Year 0</v>
      </c>
      <c r="AH11" s="130" t="str">
        <f aca="false">_xlfn.IFS(AI11&lt;90%,"Low",AND(AI11&gt;=90%,AI11&lt;=110%),"Medium", AI11&gt;110%,"High")</f>
        <v>High</v>
      </c>
      <c r="AI11" s="131" t="n">
        <f aca="false">VLOOKUP(TEXT(AF11,"mmmm"),Seasonality_Table_Gulf,2,0)</f>
        <v>1.3</v>
      </c>
      <c r="AJ11" s="132" t="n">
        <f aca="false">INDEX(Baseline_Income_Projections,MATCH(AE$2,'Country Sales &amp; Assumptions'!$G$13:$G$20,0),MATCH(Sales_Saudi_Arabia[[#This Row],[Year]],'Country Sales &amp; Assumptions'!$G$13:$L$13,0))*AI11</f>
        <v>148771.48</v>
      </c>
      <c r="AK11" s="132" t="n">
        <f aca="false">+AJ11*0.06</f>
        <v>8926.2888</v>
      </c>
      <c r="AL11" s="132" t="n">
        <f aca="false">IF(AK11&lt;10000,10000-AK11,0)</f>
        <v>1073.7112</v>
      </c>
      <c r="AM11" s="132" t="n">
        <f aca="false">AK11+AL11</f>
        <v>10000</v>
      </c>
      <c r="AO11" s="134" t="s">
        <v>231</v>
      </c>
      <c r="AP11" s="130" t="n">
        <v>45291</v>
      </c>
      <c r="AQ11" s="130" t="str">
        <f aca="false">"Year " &amp; TEXT(YEAR(AP11) - 2023, "0")</f>
        <v>Year 0</v>
      </c>
      <c r="AR11" s="130" t="str">
        <f aca="false">_xlfn.IFS(AS11&lt;90%,"Low",AND(AS11&gt;=90%,AS11&lt;=110%),"Medium", AS11&gt;110%,"High")</f>
        <v>High</v>
      </c>
      <c r="AS11" s="131" t="n">
        <f aca="false">VLOOKUP(TEXT(AP11,"mmmm"),Seasonality_Table_Mediterranean,2,0)</f>
        <v>1.2</v>
      </c>
      <c r="AT11" s="132" t="n">
        <f aca="false">INDEX(Baseline_Income_Projections,MATCH(AO$2,'Country Sales &amp; Assumptions'!$G$13:$G$20,0),MATCH(Sales_Saudi_Arabia[[#This Row],[Year]],'Country Sales &amp; Assumptions'!$G$13:$L$13,0))*AS11</f>
        <v>131085.36</v>
      </c>
      <c r="AU11" s="132" t="n">
        <f aca="false">+AT11*0.06</f>
        <v>7865.1216</v>
      </c>
      <c r="AV11" s="132" t="n">
        <f aca="false">IF(AU11&lt;10000,10000-AU11,0)</f>
        <v>2134.8784</v>
      </c>
      <c r="AW11" s="132" t="n">
        <f aca="false">AU11+AV11</f>
        <v>10000</v>
      </c>
      <c r="AY11" s="134" t="s">
        <v>231</v>
      </c>
      <c r="AZ11" s="130" t="n">
        <v>45291</v>
      </c>
      <c r="BA11" s="130" t="str">
        <f aca="false">"Year " &amp; TEXT(YEAR(AZ11) - 2023, "0")</f>
        <v>Year 0</v>
      </c>
      <c r="BB11" s="130" t="str">
        <f aca="false">_xlfn.IFS(BC11&lt;90%,"Low",AND(BC11&gt;=90%,BC11&lt;=110%),"Medium", BC11&gt;110%,"High")</f>
        <v>High</v>
      </c>
      <c r="BC11" s="131" t="n">
        <f aca="false">VLOOKUP(TEXT(AZ11,"mmmm"),Seasonality_Table_Mediterranean,2,0)</f>
        <v>1.2</v>
      </c>
      <c r="BD11" s="132" t="n">
        <f aca="false">INDEX(Baseline_Income_Projections,MATCH(AY$2,'Country Sales &amp; Assumptions'!$G$13:$G$20,0),MATCH(Sales_Saudi_Arabia[[#This Row],[Year]],'Country Sales &amp; Assumptions'!$G$13:$L$13,0))*BC11</f>
        <v>118601.04</v>
      </c>
      <c r="BE11" s="132" t="n">
        <f aca="false">+BD11*0.06</f>
        <v>7116.0624</v>
      </c>
      <c r="BF11" s="132" t="n">
        <f aca="false">IF(BE11&lt;10000,10000-BE11,0)</f>
        <v>2883.9376</v>
      </c>
      <c r="BG11" s="132" t="n">
        <f aca="false">BE11+BF11</f>
        <v>10000</v>
      </c>
      <c r="BI11" s="134" t="s">
        <v>231</v>
      </c>
      <c r="BJ11" s="130" t="n">
        <v>45291</v>
      </c>
      <c r="BK11" s="130" t="str">
        <f aca="false">"Year " &amp; TEXT(YEAR(BJ11) - 2023, "0")</f>
        <v>Year 0</v>
      </c>
      <c r="BL11" s="130" t="str">
        <f aca="false">_xlfn.IFS(BM11&lt;90%,"Low",AND(BM11&gt;=90%,BM11&lt;=110%),"Medium", BM11&gt;110%,"High")</f>
        <v>High</v>
      </c>
      <c r="BM11" s="131" t="n">
        <f aca="false">VLOOKUP(TEXT(BJ11,"mmmm"),Seasonality_Table_Mediterranean,2,0)</f>
        <v>1.2</v>
      </c>
      <c r="BN11" s="132" t="n">
        <f aca="false">INDEX(Baseline_Income_Projections,MATCH(BI$2,'Country Sales &amp; Assumptions'!$G$13:$G$20,0),MATCH(Sales_Saudi_Arabia[[#This Row],[Year]],'Country Sales &amp; Assumptions'!$G$13:$L$13,0))*BM11</f>
        <v>112358.88</v>
      </c>
      <c r="BO11" s="132" t="n">
        <f aca="false">+BN11*0.06</f>
        <v>6741.5328</v>
      </c>
      <c r="BP11" s="132" t="n">
        <f aca="false">IF(BO11&lt;10000,10000-BO11,0)</f>
        <v>3258.4672</v>
      </c>
      <c r="BQ11" s="132" t="n">
        <f aca="false">BO11+BP11</f>
        <v>10000</v>
      </c>
    </row>
    <row r="12" customFormat="false" ht="11.25" hidden="false" customHeight="true" outlineLevel="0" collapsed="false">
      <c r="A12" s="134" t="s">
        <v>231</v>
      </c>
      <c r="B12" s="130" t="n">
        <v>45322</v>
      </c>
      <c r="C12" s="130" t="str">
        <f aca="false">"Year " &amp; TEXT(YEAR(B12) - 2023, "0")</f>
        <v>Year 1</v>
      </c>
      <c r="D12" s="130" t="str">
        <f aca="false">_xlfn.IFS(E12&lt;90%,"Low",AND(E12&gt;=90%,E12&lt;=110%),"Medium", E12&gt;110%,"High")</f>
        <v>High</v>
      </c>
      <c r="E12" s="131" t="n">
        <f aca="false">VLOOKUP(TEXT(B12,"mmmm"),Seasonality_Table_Gulf,2,0)</f>
        <v>1.2</v>
      </c>
      <c r="F12" s="132" t="n">
        <f aca="false">INDEX(Baseline_Income_Projections,MATCH("Saudi Arabia",'Country Sales &amp; Assumptions'!$G$13:$G$20,0),MATCH(Sales_Saudi_Arabia[[#This Row],[Year]],'Country Sales &amp; Assumptions'!$G$13:$L$13,0))*E12</f>
        <v>131085.36</v>
      </c>
      <c r="G12" s="132" t="n">
        <f aca="false">+F12*0.06</f>
        <v>7865.1216</v>
      </c>
      <c r="H12" s="132" t="n">
        <f aca="false">IF(G12&lt;10000,10000-G12,0)</f>
        <v>2134.8784</v>
      </c>
      <c r="I12" s="132" t="n">
        <f aca="false">G12+H12</f>
        <v>10000</v>
      </c>
      <c r="K12" s="129" t="s">
        <v>231</v>
      </c>
      <c r="L12" s="130" t="n">
        <v>45322</v>
      </c>
      <c r="M12" s="130" t="str">
        <f aca="false">"Year " &amp; TEXT(YEAR(L12) - 2023, "0")</f>
        <v>Year 1</v>
      </c>
      <c r="N12" s="130" t="str">
        <f aca="false">_xlfn.IFS(O12&lt;90%,"Low",AND(O12&gt;=90%,O12&lt;=110%),"Medium", O12&gt;110%,"High")</f>
        <v>High</v>
      </c>
      <c r="O12" s="131" t="n">
        <f aca="false">VLOOKUP(TEXT(L12,"mmmm"),Seasonality_Table_Gulf,2,0)</f>
        <v>1.2</v>
      </c>
      <c r="P12" s="132" t="n">
        <f aca="false">INDEX(Baseline_Income_Projections,MATCH(K$2,'Country Sales &amp; Assumptions'!$G$13:$G$20,0),MATCH(Sales_Saudi_Arabia[[#This Row],[Year]],'Country Sales &amp; Assumptions'!$G$13:$L$13,0))*O12</f>
        <v>165417.24</v>
      </c>
      <c r="Q12" s="132" t="n">
        <f aca="false">+P12*0.06</f>
        <v>9925.0344</v>
      </c>
      <c r="R12" s="132" t="n">
        <f aca="false">IF(Q12&lt;10000,10000-Q12,0)</f>
        <v>74.9655999999995</v>
      </c>
      <c r="S12" s="133" t="n">
        <f aca="false">Q12+R12</f>
        <v>10000</v>
      </c>
      <c r="U12" s="134" t="s">
        <v>231</v>
      </c>
      <c r="V12" s="130" t="n">
        <v>45322</v>
      </c>
      <c r="W12" s="130" t="str">
        <f aca="false">"Year " &amp; TEXT(YEAR(V12) - 2023, "0")</f>
        <v>Year 1</v>
      </c>
      <c r="X12" s="130" t="str">
        <f aca="false">_xlfn.IFS(Y12&lt;90%,"Low",AND(Y12&gt;=90%,Y12&lt;=110%),"Medium", Y12&gt;110%,"High")</f>
        <v>High</v>
      </c>
      <c r="Y12" s="131" t="n">
        <f aca="false">VLOOKUP(TEXT(V12,"mmmm"),Seasonality_Table_Gulf,2,0)</f>
        <v>1.2</v>
      </c>
      <c r="Z12" s="132" t="n">
        <f aca="false">INDEX(Baseline_Income_Projections,MATCH(U$2,'Country Sales &amp; Assumptions'!$G$13:$G$20,0),MATCH(Sales_Saudi_Arabia[[#This Row],[Year]],'Country Sales &amp; Assumptions'!$G$13:$L$13,0))*Y12</f>
        <v>176965.236</v>
      </c>
      <c r="AA12" s="132" t="n">
        <f aca="false">+Z12*0.06</f>
        <v>10617.91416</v>
      </c>
      <c r="AB12" s="132" t="n">
        <f aca="false">IF(AA12&lt;10000,10000-AA12,0)</f>
        <v>0</v>
      </c>
      <c r="AC12" s="132" t="n">
        <f aca="false">AA12+AB12</f>
        <v>10617.91416</v>
      </c>
      <c r="AE12" s="134" t="s">
        <v>231</v>
      </c>
      <c r="AF12" s="130" t="n">
        <v>45322</v>
      </c>
      <c r="AG12" s="130" t="str">
        <f aca="false">"Year " &amp; TEXT(YEAR(AF12) - 2023, "0")</f>
        <v>Year 1</v>
      </c>
      <c r="AH12" s="130" t="str">
        <f aca="false">_xlfn.IFS(AI12&lt;90%,"Low",AND(AI12&gt;=90%,AI12&lt;=110%),"Medium", AI12&gt;110%,"High")</f>
        <v>High</v>
      </c>
      <c r="AI12" s="131" t="n">
        <f aca="false">VLOOKUP(TEXT(AF12,"mmmm"),Seasonality_Table_Gulf,2,0)</f>
        <v>1.2</v>
      </c>
      <c r="AJ12" s="132" t="n">
        <f aca="false">INDEX(Baseline_Income_Projections,MATCH(AE$2,'Country Sales &amp; Assumptions'!$G$13:$G$20,0),MATCH(Sales_Saudi_Arabia[[#This Row],[Year]],'Country Sales &amp; Assumptions'!$G$13:$L$13,0))*AI12</f>
        <v>149000.3592</v>
      </c>
      <c r="AK12" s="132" t="n">
        <f aca="false">+AJ12*0.06</f>
        <v>8940.021552</v>
      </c>
      <c r="AL12" s="132" t="n">
        <f aca="false">IF(AK12&lt;10000,10000-AK12,0)</f>
        <v>1059.978448</v>
      </c>
      <c r="AM12" s="132" t="n">
        <f aca="false">AK12+AL12</f>
        <v>10000</v>
      </c>
      <c r="AO12" s="134" t="s">
        <v>231</v>
      </c>
      <c r="AP12" s="130" t="n">
        <v>45322</v>
      </c>
      <c r="AQ12" s="130" t="str">
        <f aca="false">"Year " &amp; TEXT(YEAR(AP12) - 2023, "0")</f>
        <v>Year 1</v>
      </c>
      <c r="AR12" s="130" t="str">
        <f aca="false">_xlfn.IFS(AS12&lt;90%,"Low",AND(AS12&gt;=90%,AS12&lt;=110%),"Medium", AS12&gt;110%,"High")</f>
        <v>Medium</v>
      </c>
      <c r="AS12" s="131" t="n">
        <f aca="false">VLOOKUP(TEXT(AP12,"mmmm"),Seasonality_Table_Mediterranean,2,0)</f>
        <v>1.1</v>
      </c>
      <c r="AT12" s="132" t="n">
        <f aca="false">INDEX(Baseline_Income_Projections,MATCH(AO$2,'Country Sales &amp; Assumptions'!$G$13:$G$20,0),MATCH(Sales_Saudi_Arabia[[#This Row],[Year]],'Country Sales &amp; Assumptions'!$G$13:$L$13,0))*AS12</f>
        <v>127191.03243</v>
      </c>
      <c r="AU12" s="132" t="n">
        <f aca="false">+AT12*0.06</f>
        <v>7631.4619458</v>
      </c>
      <c r="AV12" s="132" t="n">
        <f aca="false">IF(AU12&lt;10000,10000-AU12,0)</f>
        <v>2368.5380542</v>
      </c>
      <c r="AW12" s="132" t="n">
        <f aca="false">AU12+AV12</f>
        <v>10000</v>
      </c>
      <c r="AY12" s="134" t="s">
        <v>231</v>
      </c>
      <c r="AZ12" s="130" t="n">
        <v>45322</v>
      </c>
      <c r="BA12" s="130" t="str">
        <f aca="false">"Year " &amp; TEXT(YEAR(AZ12) - 2023, "0")</f>
        <v>Year 1</v>
      </c>
      <c r="BB12" s="130" t="str">
        <f aca="false">_xlfn.IFS(BC12&lt;90%,"Low",AND(BC12&gt;=90%,BC12&lt;=110%),"Medium", BC12&gt;110%,"High")</f>
        <v>Medium</v>
      </c>
      <c r="BC12" s="131" t="n">
        <f aca="false">VLOOKUP(TEXT(AZ12,"mmmm"),Seasonality_Table_Mediterranean,2,0)</f>
        <v>1.1</v>
      </c>
      <c r="BD12" s="132" t="n">
        <f aca="false">INDEX(Baseline_Income_Projections,MATCH(AY$2,'Country Sales &amp; Assumptions'!$G$13:$G$20,0),MATCH(Sales_Saudi_Arabia[[#This Row],[Year]],'Country Sales &amp; Assumptions'!$G$13:$L$13,0))*BC12</f>
        <v>115012.370198</v>
      </c>
      <c r="BE12" s="132" t="n">
        <f aca="false">+BD12*0.06</f>
        <v>6900.74221188</v>
      </c>
      <c r="BF12" s="132" t="n">
        <f aca="false">IF(BE12&lt;10000,10000-BE12,0)</f>
        <v>3099.25778812</v>
      </c>
      <c r="BG12" s="132" t="n">
        <f aca="false">BE12+BF12</f>
        <v>10000</v>
      </c>
      <c r="BI12" s="134" t="s">
        <v>231</v>
      </c>
      <c r="BJ12" s="130" t="n">
        <v>45322</v>
      </c>
      <c r="BK12" s="130" t="str">
        <f aca="false">"Year " &amp; TEXT(YEAR(BJ12) - 2023, "0")</f>
        <v>Year 1</v>
      </c>
      <c r="BL12" s="130" t="str">
        <f aca="false">_xlfn.IFS(BM12&lt;90%,"Low",AND(BM12&gt;=90%,BM12&lt;=110%),"Medium", BM12&gt;110%,"High")</f>
        <v>Medium</v>
      </c>
      <c r="BM12" s="131" t="n">
        <f aca="false">VLOOKUP(TEXT(BJ12,"mmmm"),Seasonality_Table_Mediterranean,2,0)</f>
        <v>1.1</v>
      </c>
      <c r="BN12" s="132" t="n">
        <f aca="false">INDEX(Baseline_Income_Projections,MATCH(BI$2,'Country Sales &amp; Assumptions'!$G$13:$G$20,0),MATCH(Sales_Saudi_Arabia[[#This Row],[Year]],'Country Sales &amp; Assumptions'!$G$13:$L$13,0))*BM12</f>
        <v>118238.99472</v>
      </c>
      <c r="BO12" s="132" t="n">
        <f aca="false">+BN12*0.06</f>
        <v>7094.3396832</v>
      </c>
      <c r="BP12" s="132" t="n">
        <f aca="false">IF(BO12&lt;10000,10000-BO12,0)</f>
        <v>2905.6603168</v>
      </c>
      <c r="BQ12" s="132" t="n">
        <f aca="false">BO12+BP12</f>
        <v>10000</v>
      </c>
    </row>
    <row r="13" customFormat="false" ht="11.25" hidden="false" customHeight="true" outlineLevel="0" collapsed="false">
      <c r="A13" s="134" t="s">
        <v>231</v>
      </c>
      <c r="B13" s="130" t="n">
        <v>45351</v>
      </c>
      <c r="C13" s="130" t="str">
        <f aca="false">"Year " &amp; TEXT(YEAR(B13) - 2023, "0")</f>
        <v>Year 1</v>
      </c>
      <c r="D13" s="130" t="str">
        <f aca="false">_xlfn.IFS(E13&lt;90%,"Low",AND(E13&gt;=90%,E13&lt;=110%),"Medium", E13&gt;110%,"High")</f>
        <v>Medium</v>
      </c>
      <c r="E13" s="131" t="n">
        <f aca="false">VLOOKUP(TEXT(B13,"mmmm"),Seasonality_Table_Gulf,2,0)</f>
        <v>1.1</v>
      </c>
      <c r="F13" s="132" t="n">
        <f aca="false">INDEX(Baseline_Income_Projections,MATCH("Saudi Arabia",'Country Sales &amp; Assumptions'!$G$13:$G$20,0),MATCH(Sales_Saudi_Arabia[[#This Row],[Year]],'Country Sales &amp; Assumptions'!$G$13:$L$13,0))*E13</f>
        <v>120161.58</v>
      </c>
      <c r="G13" s="132" t="n">
        <f aca="false">+F13*0.06</f>
        <v>7209.6948</v>
      </c>
      <c r="H13" s="132" t="n">
        <f aca="false">IF(G13&lt;10000,10000-G13,0)</f>
        <v>2790.3052</v>
      </c>
      <c r="I13" s="132" t="n">
        <f aca="false">G13+H13</f>
        <v>10000</v>
      </c>
      <c r="K13" s="129" t="s">
        <v>231</v>
      </c>
      <c r="L13" s="130" t="n">
        <v>45351</v>
      </c>
      <c r="M13" s="130" t="str">
        <f aca="false">"Year " &amp; TEXT(YEAR(L13) - 2023, "0")</f>
        <v>Year 1</v>
      </c>
      <c r="N13" s="130" t="str">
        <f aca="false">_xlfn.IFS(O13&lt;90%,"Low",AND(O13&gt;=90%,O13&lt;=110%),"Medium", O13&gt;110%,"High")</f>
        <v>Medium</v>
      </c>
      <c r="O13" s="131" t="n">
        <f aca="false">VLOOKUP(TEXT(L13,"mmmm"),Seasonality_Table_Gulf,2,0)</f>
        <v>1.1</v>
      </c>
      <c r="P13" s="132" t="n">
        <f aca="false">INDEX(Baseline_Income_Projections,MATCH(K$2,'Country Sales &amp; Assumptions'!$G$13:$G$20,0),MATCH(Sales_Saudi_Arabia[[#This Row],[Year]],'Country Sales &amp; Assumptions'!$G$13:$L$13,0))*O13</f>
        <v>151632.47</v>
      </c>
      <c r="Q13" s="132" t="n">
        <f aca="false">+P13*0.06</f>
        <v>9097.9482</v>
      </c>
      <c r="R13" s="132" t="n">
        <f aca="false">IF(Q13&lt;10000,10000-Q13,0)</f>
        <v>902.051799999999</v>
      </c>
      <c r="S13" s="133" t="n">
        <f aca="false">Q13+R13</f>
        <v>10000</v>
      </c>
      <c r="U13" s="134" t="s">
        <v>231</v>
      </c>
      <c r="V13" s="130" t="n">
        <v>45351</v>
      </c>
      <c r="W13" s="130" t="str">
        <f aca="false">"Year " &amp; TEXT(YEAR(V13) - 2023, "0")</f>
        <v>Year 1</v>
      </c>
      <c r="X13" s="130" t="str">
        <f aca="false">_xlfn.IFS(Y13&lt;90%,"Low",AND(Y13&gt;=90%,Y13&lt;=110%),"Medium", Y13&gt;110%,"High")</f>
        <v>Medium</v>
      </c>
      <c r="Y13" s="131" t="n">
        <f aca="false">VLOOKUP(TEXT(V13,"mmmm"),Seasonality_Table_Gulf,2,0)</f>
        <v>1.1</v>
      </c>
      <c r="Z13" s="132" t="n">
        <f aca="false">INDEX(Baseline_Income_Projections,MATCH(U$2,'Country Sales &amp; Assumptions'!$G$13:$G$20,0),MATCH(Sales_Saudi_Arabia[[#This Row],[Year]],'Country Sales &amp; Assumptions'!$G$13:$L$13,0))*Y13</f>
        <v>162218.133</v>
      </c>
      <c r="AA13" s="132" t="n">
        <f aca="false">+Z13*0.06</f>
        <v>9733.08798</v>
      </c>
      <c r="AB13" s="132" t="n">
        <f aca="false">IF(AA13&lt;10000,10000-AA13,0)</f>
        <v>266.91202</v>
      </c>
      <c r="AC13" s="132" t="n">
        <f aca="false">AA13+AB13</f>
        <v>10000</v>
      </c>
      <c r="AE13" s="134" t="s">
        <v>231</v>
      </c>
      <c r="AF13" s="130" t="n">
        <v>45351</v>
      </c>
      <c r="AG13" s="130" t="str">
        <f aca="false">"Year " &amp; TEXT(YEAR(AF13) - 2023, "0")</f>
        <v>Year 1</v>
      </c>
      <c r="AH13" s="130" t="str">
        <f aca="false">_xlfn.IFS(AI13&lt;90%,"Low",AND(AI13&gt;=90%,AI13&lt;=110%),"Medium", AI13&gt;110%,"High")</f>
        <v>Medium</v>
      </c>
      <c r="AI13" s="131" t="n">
        <f aca="false">VLOOKUP(TEXT(AF13,"mmmm"),Seasonality_Table_Gulf,2,0)</f>
        <v>1.1</v>
      </c>
      <c r="AJ13" s="132" t="n">
        <f aca="false">INDEX(Baseline_Income_Projections,MATCH(AE$2,'Country Sales &amp; Assumptions'!$G$13:$G$20,0),MATCH(Sales_Saudi_Arabia[[#This Row],[Year]],'Country Sales &amp; Assumptions'!$G$13:$L$13,0))*AI13</f>
        <v>136583.6626</v>
      </c>
      <c r="AK13" s="132" t="n">
        <f aca="false">+AJ13*0.06</f>
        <v>8195.019756</v>
      </c>
      <c r="AL13" s="132" t="n">
        <f aca="false">IF(AK13&lt;10000,10000-AK13,0)</f>
        <v>1804.980244</v>
      </c>
      <c r="AM13" s="132" t="n">
        <f aca="false">AK13+AL13</f>
        <v>10000</v>
      </c>
      <c r="AO13" s="134" t="s">
        <v>231</v>
      </c>
      <c r="AP13" s="130" t="n">
        <v>45351</v>
      </c>
      <c r="AQ13" s="130" t="str">
        <f aca="false">"Year " &amp; TEXT(YEAR(AP13) - 2023, "0")</f>
        <v>Year 1</v>
      </c>
      <c r="AR13" s="130" t="str">
        <f aca="false">_xlfn.IFS(AS13&lt;90%,"Low",AND(AS13&gt;=90%,AS13&lt;=110%),"Medium", AS13&gt;110%,"High")</f>
        <v>Medium</v>
      </c>
      <c r="AS13" s="131" t="n">
        <f aca="false">VLOOKUP(TEXT(AP13,"mmmm"),Seasonality_Table_Mediterranean,2,0)</f>
        <v>1</v>
      </c>
      <c r="AT13" s="132" t="n">
        <f aca="false">INDEX(Baseline_Income_Projections,MATCH(AO$2,'Country Sales &amp; Assumptions'!$G$13:$G$20,0),MATCH(Sales_Saudi_Arabia[[#This Row],[Year]],'Country Sales &amp; Assumptions'!$G$13:$L$13,0))*AS13</f>
        <v>115628.2113</v>
      </c>
      <c r="AU13" s="132" t="n">
        <f aca="false">+AT13*0.06</f>
        <v>6937.692678</v>
      </c>
      <c r="AV13" s="132" t="n">
        <f aca="false">IF(AU13&lt;10000,10000-AU13,0)</f>
        <v>3062.307322</v>
      </c>
      <c r="AW13" s="132" t="n">
        <f aca="false">AU13+AV13</f>
        <v>10000</v>
      </c>
      <c r="AY13" s="134" t="s">
        <v>231</v>
      </c>
      <c r="AZ13" s="130" t="n">
        <v>45351</v>
      </c>
      <c r="BA13" s="130" t="str">
        <f aca="false">"Year " &amp; TEXT(YEAR(AZ13) - 2023, "0")</f>
        <v>Year 1</v>
      </c>
      <c r="BB13" s="130" t="str">
        <f aca="false">_xlfn.IFS(BC13&lt;90%,"Low",AND(BC13&gt;=90%,BC13&lt;=110%),"Medium", BC13&gt;110%,"High")</f>
        <v>Medium</v>
      </c>
      <c r="BC13" s="131" t="n">
        <f aca="false">VLOOKUP(TEXT(AZ13,"mmmm"),Seasonality_Table_Mediterranean,2,0)</f>
        <v>1</v>
      </c>
      <c r="BD13" s="132" t="n">
        <f aca="false">INDEX(Baseline_Income_Projections,MATCH(AY$2,'Country Sales &amp; Assumptions'!$G$13:$G$20,0),MATCH(Sales_Saudi_Arabia[[#This Row],[Year]],'Country Sales &amp; Assumptions'!$G$13:$L$13,0))*BC13</f>
        <v>104556.70018</v>
      </c>
      <c r="BE13" s="132" t="n">
        <f aca="false">+BD13*0.06</f>
        <v>6273.4020108</v>
      </c>
      <c r="BF13" s="132" t="n">
        <f aca="false">IF(BE13&lt;10000,10000-BE13,0)</f>
        <v>3726.5979892</v>
      </c>
      <c r="BG13" s="132" t="n">
        <f aca="false">BE13+BF13</f>
        <v>10000</v>
      </c>
      <c r="BI13" s="134" t="s">
        <v>231</v>
      </c>
      <c r="BJ13" s="130" t="n">
        <v>45351</v>
      </c>
      <c r="BK13" s="130" t="str">
        <f aca="false">"Year " &amp; TEXT(YEAR(BJ13) - 2023, "0")</f>
        <v>Year 1</v>
      </c>
      <c r="BL13" s="130" t="str">
        <f aca="false">_xlfn.IFS(BM13&lt;90%,"Low",AND(BM13&gt;=90%,BM13&lt;=110%),"Medium", BM13&gt;110%,"High")</f>
        <v>Medium</v>
      </c>
      <c r="BM13" s="131" t="n">
        <f aca="false">VLOOKUP(TEXT(BJ13,"mmmm"),Seasonality_Table_Mediterranean,2,0)</f>
        <v>1</v>
      </c>
      <c r="BN13" s="132" t="n">
        <f aca="false">INDEX(Baseline_Income_Projections,MATCH(BI$2,'Country Sales &amp; Assumptions'!$G$13:$G$20,0),MATCH(Sales_Saudi_Arabia[[#This Row],[Year]],'Country Sales &amp; Assumptions'!$G$13:$L$13,0))*BM13</f>
        <v>107489.9952</v>
      </c>
      <c r="BO13" s="132" t="n">
        <f aca="false">+BN13*0.06</f>
        <v>6449.399712</v>
      </c>
      <c r="BP13" s="132" t="n">
        <f aca="false">IF(BO13&lt;10000,10000-BO13,0)</f>
        <v>3550.600288</v>
      </c>
      <c r="BQ13" s="132" t="n">
        <f aca="false">BO13+BP13</f>
        <v>10000</v>
      </c>
    </row>
    <row r="14" customFormat="false" ht="11.25" hidden="false" customHeight="true" outlineLevel="0" collapsed="false">
      <c r="A14" s="134" t="s">
        <v>231</v>
      </c>
      <c r="B14" s="130" t="n">
        <v>45382</v>
      </c>
      <c r="C14" s="130" t="str">
        <f aca="false">"Year " &amp; TEXT(YEAR(B14) - 2023, "0")</f>
        <v>Year 1</v>
      </c>
      <c r="D14" s="130" t="str">
        <f aca="false">_xlfn.IFS(E14&lt;90%,"Low",AND(E14&gt;=90%,E14&lt;=110%),"Medium", E14&gt;110%,"High")</f>
        <v>Medium</v>
      </c>
      <c r="E14" s="131" t="n">
        <f aca="false">VLOOKUP(TEXT(B14,"mmmm"),Seasonality_Table_Gulf,2,0)</f>
        <v>1.1</v>
      </c>
      <c r="F14" s="132" t="n">
        <f aca="false">INDEX(Baseline_Income_Projections,MATCH("Saudi Arabia",'Country Sales &amp; Assumptions'!$G$13:$G$20,0),MATCH(Sales_Saudi_Arabia[[#This Row],[Year]],'Country Sales &amp; Assumptions'!$G$13:$L$13,0))*E14</f>
        <v>120161.58</v>
      </c>
      <c r="G14" s="132" t="n">
        <f aca="false">+F14*0.06</f>
        <v>7209.6948</v>
      </c>
      <c r="H14" s="132" t="n">
        <f aca="false">IF(G14&lt;10000,10000-G14,0)</f>
        <v>2790.3052</v>
      </c>
      <c r="I14" s="132" t="n">
        <f aca="false">G14+H14</f>
        <v>10000</v>
      </c>
      <c r="K14" s="129" t="s">
        <v>231</v>
      </c>
      <c r="L14" s="130" t="n">
        <v>45382</v>
      </c>
      <c r="M14" s="130" t="str">
        <f aca="false">"Year " &amp; TEXT(YEAR(L14) - 2023, "0")</f>
        <v>Year 1</v>
      </c>
      <c r="N14" s="130" t="str">
        <f aca="false">_xlfn.IFS(O14&lt;90%,"Low",AND(O14&gt;=90%,O14&lt;=110%),"Medium", O14&gt;110%,"High")</f>
        <v>Medium</v>
      </c>
      <c r="O14" s="131" t="n">
        <f aca="false">VLOOKUP(TEXT(L14,"mmmm"),Seasonality_Table_Gulf,2,0)</f>
        <v>1.1</v>
      </c>
      <c r="P14" s="132" t="n">
        <f aca="false">INDEX(Baseline_Income_Projections,MATCH(K$2,'Country Sales &amp; Assumptions'!$G$13:$G$20,0),MATCH(Sales_Saudi_Arabia[[#This Row],[Year]],'Country Sales &amp; Assumptions'!$G$13:$L$13,0))*O14</f>
        <v>151632.47</v>
      </c>
      <c r="Q14" s="132" t="n">
        <f aca="false">+P14*0.06</f>
        <v>9097.9482</v>
      </c>
      <c r="R14" s="132" t="n">
        <f aca="false">IF(Q14&lt;10000,10000-Q14,0)</f>
        <v>902.051799999999</v>
      </c>
      <c r="S14" s="133" t="n">
        <f aca="false">Q14+R14</f>
        <v>10000</v>
      </c>
      <c r="U14" s="134" t="s">
        <v>231</v>
      </c>
      <c r="V14" s="130" t="n">
        <v>45382</v>
      </c>
      <c r="W14" s="130" t="str">
        <f aca="false">"Year " &amp; TEXT(YEAR(V14) - 2023, "0")</f>
        <v>Year 1</v>
      </c>
      <c r="X14" s="130" t="str">
        <f aca="false">_xlfn.IFS(Y14&lt;90%,"Low",AND(Y14&gt;=90%,Y14&lt;=110%),"Medium", Y14&gt;110%,"High")</f>
        <v>Medium</v>
      </c>
      <c r="Y14" s="131" t="n">
        <f aca="false">VLOOKUP(TEXT(V14,"mmmm"),Seasonality_Table_Gulf,2,0)</f>
        <v>1.1</v>
      </c>
      <c r="Z14" s="132" t="n">
        <f aca="false">INDEX(Baseline_Income_Projections,MATCH(U$2,'Country Sales &amp; Assumptions'!$G$13:$G$20,0),MATCH(Sales_Saudi_Arabia[[#This Row],[Year]],'Country Sales &amp; Assumptions'!$G$13:$L$13,0))*Y14</f>
        <v>162218.133</v>
      </c>
      <c r="AA14" s="132" t="n">
        <f aca="false">+Z14*0.06</f>
        <v>9733.08798</v>
      </c>
      <c r="AB14" s="132" t="n">
        <f aca="false">IF(AA14&lt;10000,10000-AA14,0)</f>
        <v>266.91202</v>
      </c>
      <c r="AC14" s="132" t="n">
        <f aca="false">AA14+AB14</f>
        <v>10000</v>
      </c>
      <c r="AE14" s="134" t="s">
        <v>231</v>
      </c>
      <c r="AF14" s="130" t="n">
        <v>45382</v>
      </c>
      <c r="AG14" s="130" t="str">
        <f aca="false">"Year " &amp; TEXT(YEAR(AF14) - 2023, "0")</f>
        <v>Year 1</v>
      </c>
      <c r="AH14" s="130" t="str">
        <f aca="false">_xlfn.IFS(AI14&lt;90%,"Low",AND(AI14&gt;=90%,AI14&lt;=110%),"Medium", AI14&gt;110%,"High")</f>
        <v>Medium</v>
      </c>
      <c r="AI14" s="131" t="n">
        <f aca="false">VLOOKUP(TEXT(AF14,"mmmm"),Seasonality_Table_Gulf,2,0)</f>
        <v>1.1</v>
      </c>
      <c r="AJ14" s="132" t="n">
        <f aca="false">INDEX(Baseline_Income_Projections,MATCH(AE$2,'Country Sales &amp; Assumptions'!$G$13:$G$20,0),MATCH(Sales_Saudi_Arabia[[#This Row],[Year]],'Country Sales &amp; Assumptions'!$G$13:$L$13,0))*AI14</f>
        <v>136583.6626</v>
      </c>
      <c r="AK14" s="132" t="n">
        <f aca="false">+AJ14*0.06</f>
        <v>8195.019756</v>
      </c>
      <c r="AL14" s="132" t="n">
        <f aca="false">IF(AK14&lt;10000,10000-AK14,0)</f>
        <v>1804.980244</v>
      </c>
      <c r="AM14" s="132" t="n">
        <f aca="false">AK14+AL14</f>
        <v>10000</v>
      </c>
      <c r="AO14" s="134" t="s">
        <v>231</v>
      </c>
      <c r="AP14" s="130" t="n">
        <v>45382</v>
      </c>
      <c r="AQ14" s="130" t="str">
        <f aca="false">"Year " &amp; TEXT(YEAR(AP14) - 2023, "0")</f>
        <v>Year 1</v>
      </c>
      <c r="AR14" s="130" t="str">
        <f aca="false">_xlfn.IFS(AS14&lt;90%,"Low",AND(AS14&gt;=90%,AS14&lt;=110%),"Medium", AS14&gt;110%,"High")</f>
        <v>Medium</v>
      </c>
      <c r="AS14" s="131" t="n">
        <f aca="false">VLOOKUP(TEXT(AP14,"mmmm"),Seasonality_Table_Mediterranean,2,0)</f>
        <v>1.1</v>
      </c>
      <c r="AT14" s="132" t="n">
        <f aca="false">INDEX(Baseline_Income_Projections,MATCH(AO$2,'Country Sales &amp; Assumptions'!$G$13:$G$20,0),MATCH(Sales_Saudi_Arabia[[#This Row],[Year]],'Country Sales &amp; Assumptions'!$G$13:$L$13,0))*AS14</f>
        <v>127191.03243</v>
      </c>
      <c r="AU14" s="132" t="n">
        <f aca="false">+AT14*0.06</f>
        <v>7631.4619458</v>
      </c>
      <c r="AV14" s="132" t="n">
        <f aca="false">IF(AU14&lt;10000,10000-AU14,0)</f>
        <v>2368.5380542</v>
      </c>
      <c r="AW14" s="132" t="n">
        <f aca="false">AU14+AV14</f>
        <v>10000</v>
      </c>
      <c r="AY14" s="134" t="s">
        <v>231</v>
      </c>
      <c r="AZ14" s="130" t="n">
        <v>45382</v>
      </c>
      <c r="BA14" s="130" t="str">
        <f aca="false">"Year " &amp; TEXT(YEAR(AZ14) - 2023, "0")</f>
        <v>Year 1</v>
      </c>
      <c r="BB14" s="130" t="str">
        <f aca="false">_xlfn.IFS(BC14&lt;90%,"Low",AND(BC14&gt;=90%,BC14&lt;=110%),"Medium", BC14&gt;110%,"High")</f>
        <v>Medium</v>
      </c>
      <c r="BC14" s="131" t="n">
        <f aca="false">VLOOKUP(TEXT(AZ14,"mmmm"),Seasonality_Table_Mediterranean,2,0)</f>
        <v>1.1</v>
      </c>
      <c r="BD14" s="132" t="n">
        <f aca="false">INDEX(Baseline_Income_Projections,MATCH(AY$2,'Country Sales &amp; Assumptions'!$G$13:$G$20,0),MATCH(Sales_Saudi_Arabia[[#This Row],[Year]],'Country Sales &amp; Assumptions'!$G$13:$L$13,0))*BC14</f>
        <v>115012.370198</v>
      </c>
      <c r="BE14" s="132" t="n">
        <f aca="false">+BD14*0.06</f>
        <v>6900.74221188</v>
      </c>
      <c r="BF14" s="132" t="n">
        <f aca="false">IF(BE14&lt;10000,10000-BE14,0)</f>
        <v>3099.25778812</v>
      </c>
      <c r="BG14" s="132" t="n">
        <f aca="false">BE14+BF14</f>
        <v>10000</v>
      </c>
      <c r="BI14" s="134" t="s">
        <v>231</v>
      </c>
      <c r="BJ14" s="130" t="n">
        <v>45382</v>
      </c>
      <c r="BK14" s="130" t="str">
        <f aca="false">"Year " &amp; TEXT(YEAR(BJ14) - 2023, "0")</f>
        <v>Year 1</v>
      </c>
      <c r="BL14" s="130" t="str">
        <f aca="false">_xlfn.IFS(BM14&lt;90%,"Low",AND(BM14&gt;=90%,BM14&lt;=110%),"Medium", BM14&gt;110%,"High")</f>
        <v>Medium</v>
      </c>
      <c r="BM14" s="131" t="n">
        <f aca="false">VLOOKUP(TEXT(BJ14,"mmmm"),Seasonality_Table_Mediterranean,2,0)</f>
        <v>1.1</v>
      </c>
      <c r="BN14" s="132" t="n">
        <f aca="false">INDEX(Baseline_Income_Projections,MATCH(BI$2,'Country Sales &amp; Assumptions'!$G$13:$G$20,0),MATCH(Sales_Saudi_Arabia[[#This Row],[Year]],'Country Sales &amp; Assumptions'!$G$13:$L$13,0))*BM14</f>
        <v>118238.99472</v>
      </c>
      <c r="BO14" s="132" t="n">
        <f aca="false">+BN14*0.06</f>
        <v>7094.3396832</v>
      </c>
      <c r="BP14" s="132" t="n">
        <f aca="false">IF(BO14&lt;10000,10000-BO14,0)</f>
        <v>2905.6603168</v>
      </c>
      <c r="BQ14" s="132" t="n">
        <f aca="false">BO14+BP14</f>
        <v>10000</v>
      </c>
    </row>
    <row r="15" customFormat="false" ht="11.25" hidden="false" customHeight="true" outlineLevel="0" collapsed="false">
      <c r="A15" s="134" t="s">
        <v>231</v>
      </c>
      <c r="B15" s="130" t="n">
        <v>45412</v>
      </c>
      <c r="C15" s="130" t="str">
        <f aca="false">"Year " &amp; TEXT(YEAR(B15) - 2023, "0")</f>
        <v>Year 1</v>
      </c>
      <c r="D15" s="130" t="str">
        <f aca="false">_xlfn.IFS(E15&lt;90%,"Low",AND(E15&gt;=90%,E15&lt;=110%),"Medium", E15&gt;110%,"High")</f>
        <v>Medium</v>
      </c>
      <c r="E15" s="131" t="n">
        <f aca="false">VLOOKUP(TEXT(B15,"mmmm"),Seasonality_Table_Gulf,2,0)</f>
        <v>0.9</v>
      </c>
      <c r="F15" s="132" t="n">
        <f aca="false">INDEX(Baseline_Income_Projections,MATCH("Saudi Arabia",'Country Sales &amp; Assumptions'!$G$13:$G$20,0),MATCH(Sales_Saudi_Arabia[[#This Row],[Year]],'Country Sales &amp; Assumptions'!$G$13:$L$13,0))*E15</f>
        <v>98314.02</v>
      </c>
      <c r="G15" s="132" t="n">
        <f aca="false">+F15*0.06</f>
        <v>5898.8412</v>
      </c>
      <c r="H15" s="132" t="n">
        <f aca="false">IF(G15&lt;10000,10000-G15,0)</f>
        <v>4101.1588</v>
      </c>
      <c r="I15" s="132" t="n">
        <f aca="false">G15+H15</f>
        <v>10000</v>
      </c>
      <c r="K15" s="129" t="s">
        <v>231</v>
      </c>
      <c r="L15" s="130" t="n">
        <v>45412</v>
      </c>
      <c r="M15" s="130" t="str">
        <f aca="false">"Year " &amp; TEXT(YEAR(L15) - 2023, "0")</f>
        <v>Year 1</v>
      </c>
      <c r="N15" s="130" t="str">
        <f aca="false">_xlfn.IFS(O15&lt;90%,"Low",AND(O15&gt;=90%,O15&lt;=110%),"Medium", O15&gt;110%,"High")</f>
        <v>Medium</v>
      </c>
      <c r="O15" s="131" t="n">
        <f aca="false">VLOOKUP(TEXT(L15,"mmmm"),Seasonality_Table_Gulf,2,0)</f>
        <v>0.9</v>
      </c>
      <c r="P15" s="132" t="n">
        <f aca="false">INDEX(Baseline_Income_Projections,MATCH(K$2,'Country Sales &amp; Assumptions'!$G$13:$G$20,0),MATCH(Sales_Saudi_Arabia[[#This Row],[Year]],'Country Sales &amp; Assumptions'!$G$13:$L$13,0))*O15</f>
        <v>124062.93</v>
      </c>
      <c r="Q15" s="132" t="n">
        <f aca="false">+P15*0.06</f>
        <v>7443.7758</v>
      </c>
      <c r="R15" s="132" t="n">
        <f aca="false">IF(Q15&lt;10000,10000-Q15,0)</f>
        <v>2556.2242</v>
      </c>
      <c r="S15" s="133" t="n">
        <f aca="false">Q15+R15</f>
        <v>10000</v>
      </c>
      <c r="U15" s="134" t="s">
        <v>231</v>
      </c>
      <c r="V15" s="130" t="n">
        <v>45412</v>
      </c>
      <c r="W15" s="130" t="str">
        <f aca="false">"Year " &amp; TEXT(YEAR(V15) - 2023, "0")</f>
        <v>Year 1</v>
      </c>
      <c r="X15" s="130" t="str">
        <f aca="false">_xlfn.IFS(Y15&lt;90%,"Low",AND(Y15&gt;=90%,Y15&lt;=110%),"Medium", Y15&gt;110%,"High")</f>
        <v>Medium</v>
      </c>
      <c r="Y15" s="131" t="n">
        <f aca="false">VLOOKUP(TEXT(V15,"mmmm"),Seasonality_Table_Gulf,2,0)</f>
        <v>0.9</v>
      </c>
      <c r="Z15" s="132" t="n">
        <f aca="false">INDEX(Baseline_Income_Projections,MATCH(U$2,'Country Sales &amp; Assumptions'!$G$13:$G$20,0),MATCH(Sales_Saudi_Arabia[[#This Row],[Year]],'Country Sales &amp; Assumptions'!$G$13:$L$13,0))*Y15</f>
        <v>132723.927</v>
      </c>
      <c r="AA15" s="132" t="n">
        <f aca="false">+Z15*0.06</f>
        <v>7963.43562</v>
      </c>
      <c r="AB15" s="132" t="n">
        <f aca="false">IF(AA15&lt;10000,10000-AA15,0)</f>
        <v>2036.56438</v>
      </c>
      <c r="AC15" s="132" t="n">
        <f aca="false">AA15+AB15</f>
        <v>10000</v>
      </c>
      <c r="AE15" s="134" t="s">
        <v>231</v>
      </c>
      <c r="AF15" s="130" t="n">
        <v>45412</v>
      </c>
      <c r="AG15" s="130" t="str">
        <f aca="false">"Year " &amp; TEXT(YEAR(AF15) - 2023, "0")</f>
        <v>Year 1</v>
      </c>
      <c r="AH15" s="130" t="str">
        <f aca="false">_xlfn.IFS(AI15&lt;90%,"Low",AND(AI15&gt;=90%,AI15&lt;=110%),"Medium", AI15&gt;110%,"High")</f>
        <v>Medium</v>
      </c>
      <c r="AI15" s="131" t="n">
        <f aca="false">VLOOKUP(TEXT(AF15,"mmmm"),Seasonality_Table_Gulf,2,0)</f>
        <v>0.9</v>
      </c>
      <c r="AJ15" s="132" t="n">
        <f aca="false">INDEX(Baseline_Income_Projections,MATCH(AE$2,'Country Sales &amp; Assumptions'!$G$13:$G$20,0),MATCH(Sales_Saudi_Arabia[[#This Row],[Year]],'Country Sales &amp; Assumptions'!$G$13:$L$13,0))*AI15</f>
        <v>111750.2694</v>
      </c>
      <c r="AK15" s="132" t="n">
        <f aca="false">+AJ15*0.06</f>
        <v>6705.016164</v>
      </c>
      <c r="AL15" s="132" t="n">
        <f aca="false">IF(AK15&lt;10000,10000-AK15,0)</f>
        <v>3294.983836</v>
      </c>
      <c r="AM15" s="132" t="n">
        <f aca="false">AK15+AL15</f>
        <v>10000</v>
      </c>
      <c r="AO15" s="134" t="s">
        <v>231</v>
      </c>
      <c r="AP15" s="130" t="n">
        <v>45412</v>
      </c>
      <c r="AQ15" s="130" t="str">
        <f aca="false">"Year " &amp; TEXT(YEAR(AP15) - 2023, "0")</f>
        <v>Year 1</v>
      </c>
      <c r="AR15" s="130" t="str">
        <f aca="false">_xlfn.IFS(AS15&lt;90%,"Low",AND(AS15&gt;=90%,AS15&lt;=110%),"Medium", AS15&gt;110%,"High")</f>
        <v>High</v>
      </c>
      <c r="AS15" s="131" t="n">
        <f aca="false">VLOOKUP(TEXT(AP15,"mmmm"),Seasonality_Table_Mediterranean,2,0)</f>
        <v>1.2</v>
      </c>
      <c r="AT15" s="132" t="n">
        <f aca="false">INDEX(Baseline_Income_Projections,MATCH(AO$2,'Country Sales &amp; Assumptions'!$G$13:$G$20,0),MATCH(Sales_Saudi_Arabia[[#This Row],[Year]],'Country Sales &amp; Assumptions'!$G$13:$L$13,0))*AS15</f>
        <v>138753.85356</v>
      </c>
      <c r="AU15" s="132" t="n">
        <f aca="false">+AT15*0.06</f>
        <v>8325.2312136</v>
      </c>
      <c r="AV15" s="132" t="n">
        <f aca="false">IF(AU15&lt;10000,10000-AU15,0)</f>
        <v>1674.7687864</v>
      </c>
      <c r="AW15" s="132" t="n">
        <f aca="false">AU15+AV15</f>
        <v>10000</v>
      </c>
      <c r="AY15" s="134" t="s">
        <v>231</v>
      </c>
      <c r="AZ15" s="130" t="n">
        <v>45412</v>
      </c>
      <c r="BA15" s="130" t="str">
        <f aca="false">"Year " &amp; TEXT(YEAR(AZ15) - 2023, "0")</f>
        <v>Year 1</v>
      </c>
      <c r="BB15" s="130" t="str">
        <f aca="false">_xlfn.IFS(BC15&lt;90%,"Low",AND(BC15&gt;=90%,BC15&lt;=110%),"Medium", BC15&gt;110%,"High")</f>
        <v>High</v>
      </c>
      <c r="BC15" s="131" t="n">
        <f aca="false">VLOOKUP(TEXT(AZ15,"mmmm"),Seasonality_Table_Mediterranean,2,0)</f>
        <v>1.2</v>
      </c>
      <c r="BD15" s="132" t="n">
        <f aca="false">INDEX(Baseline_Income_Projections,MATCH(AY$2,'Country Sales &amp; Assumptions'!$G$13:$G$20,0),MATCH(Sales_Saudi_Arabia[[#This Row],[Year]],'Country Sales &amp; Assumptions'!$G$13:$L$13,0))*BC15</f>
        <v>125468.040216</v>
      </c>
      <c r="BE15" s="132" t="n">
        <f aca="false">+BD15*0.06</f>
        <v>7528.08241296</v>
      </c>
      <c r="BF15" s="132" t="n">
        <f aca="false">IF(BE15&lt;10000,10000-BE15,0)</f>
        <v>2471.91758704</v>
      </c>
      <c r="BG15" s="132" t="n">
        <f aca="false">BE15+BF15</f>
        <v>10000</v>
      </c>
      <c r="BI15" s="134" t="s">
        <v>231</v>
      </c>
      <c r="BJ15" s="130" t="n">
        <v>45412</v>
      </c>
      <c r="BK15" s="130" t="str">
        <f aca="false">"Year " &amp; TEXT(YEAR(BJ15) - 2023, "0")</f>
        <v>Year 1</v>
      </c>
      <c r="BL15" s="130" t="str">
        <f aca="false">_xlfn.IFS(BM15&lt;90%,"Low",AND(BM15&gt;=90%,BM15&lt;=110%),"Medium", BM15&gt;110%,"High")</f>
        <v>High</v>
      </c>
      <c r="BM15" s="131" t="n">
        <f aca="false">VLOOKUP(TEXT(BJ15,"mmmm"),Seasonality_Table_Mediterranean,2,0)</f>
        <v>1.2</v>
      </c>
      <c r="BN15" s="132" t="n">
        <f aca="false">INDEX(Baseline_Income_Projections,MATCH(BI$2,'Country Sales &amp; Assumptions'!$G$13:$G$20,0),MATCH(Sales_Saudi_Arabia[[#This Row],[Year]],'Country Sales &amp; Assumptions'!$G$13:$L$13,0))*BM15</f>
        <v>128987.99424</v>
      </c>
      <c r="BO15" s="132" t="n">
        <f aca="false">+BN15*0.06</f>
        <v>7739.2796544</v>
      </c>
      <c r="BP15" s="132" t="n">
        <f aca="false">IF(BO15&lt;10000,10000-BO15,0)</f>
        <v>2260.7203456</v>
      </c>
      <c r="BQ15" s="132" t="n">
        <f aca="false">BO15+BP15</f>
        <v>10000</v>
      </c>
    </row>
    <row r="16" customFormat="false" ht="11.25" hidden="false" customHeight="true" outlineLevel="0" collapsed="false">
      <c r="A16" s="134" t="s">
        <v>231</v>
      </c>
      <c r="B16" s="130" t="n">
        <v>45443</v>
      </c>
      <c r="C16" s="130" t="str">
        <f aca="false">"Year " &amp; TEXT(YEAR(B16) - 2023, "0")</f>
        <v>Year 1</v>
      </c>
      <c r="D16" s="130" t="str">
        <f aca="false">_xlfn.IFS(E16&lt;90%,"Low",AND(E16&gt;=90%,E16&lt;=110%),"Medium", E16&gt;110%,"High")</f>
        <v>Low</v>
      </c>
      <c r="E16" s="131" t="n">
        <f aca="false">VLOOKUP(TEXT(B16,"mmmm"),Seasonality_Table_Gulf,2,0)</f>
        <v>0.8</v>
      </c>
      <c r="F16" s="132" t="n">
        <f aca="false">INDEX(Baseline_Income_Projections,MATCH("Saudi Arabia",'Country Sales &amp; Assumptions'!$G$13:$G$20,0),MATCH(Sales_Saudi_Arabia[[#This Row],[Year]],'Country Sales &amp; Assumptions'!$G$13:$L$13,0))*E16</f>
        <v>87390.24</v>
      </c>
      <c r="G16" s="132" t="n">
        <f aca="false">+F16*0.06</f>
        <v>5243.4144</v>
      </c>
      <c r="H16" s="132" t="n">
        <f aca="false">IF(G16&lt;10000,10000-G16,0)</f>
        <v>4756.5856</v>
      </c>
      <c r="I16" s="132" t="n">
        <f aca="false">G16+H16</f>
        <v>10000</v>
      </c>
      <c r="K16" s="129" t="s">
        <v>231</v>
      </c>
      <c r="L16" s="130" t="n">
        <v>45443</v>
      </c>
      <c r="M16" s="130" t="str">
        <f aca="false">"Year " &amp; TEXT(YEAR(L16) - 2023, "0")</f>
        <v>Year 1</v>
      </c>
      <c r="N16" s="130" t="str">
        <f aca="false">_xlfn.IFS(O16&lt;90%,"Low",AND(O16&gt;=90%,O16&lt;=110%),"Medium", O16&gt;110%,"High")</f>
        <v>Low</v>
      </c>
      <c r="O16" s="131" t="n">
        <f aca="false">VLOOKUP(TEXT(L16,"mmmm"),Seasonality_Table_Gulf,2,0)</f>
        <v>0.8</v>
      </c>
      <c r="P16" s="132" t="n">
        <f aca="false">INDEX(Baseline_Income_Projections,MATCH(K$2,'Country Sales &amp; Assumptions'!$G$13:$G$20,0),MATCH(Sales_Saudi_Arabia[[#This Row],[Year]],'Country Sales &amp; Assumptions'!$G$13:$L$13,0))*O16</f>
        <v>110278.16</v>
      </c>
      <c r="Q16" s="132" t="n">
        <f aca="false">+P16*0.06</f>
        <v>6616.6896</v>
      </c>
      <c r="R16" s="132" t="n">
        <f aca="false">IF(Q16&lt;10000,10000-Q16,0)</f>
        <v>3383.3104</v>
      </c>
      <c r="S16" s="133" t="n">
        <f aca="false">Q16+R16</f>
        <v>10000</v>
      </c>
      <c r="U16" s="134" t="s">
        <v>231</v>
      </c>
      <c r="V16" s="130" t="n">
        <v>45443</v>
      </c>
      <c r="W16" s="130" t="str">
        <f aca="false">"Year " &amp; TEXT(YEAR(V16) - 2023, "0")</f>
        <v>Year 1</v>
      </c>
      <c r="X16" s="130" t="str">
        <f aca="false">_xlfn.IFS(Y16&lt;90%,"Low",AND(Y16&gt;=90%,Y16&lt;=110%),"Medium", Y16&gt;110%,"High")</f>
        <v>Low</v>
      </c>
      <c r="Y16" s="131" t="n">
        <f aca="false">VLOOKUP(TEXT(V16,"mmmm"),Seasonality_Table_Gulf,2,0)</f>
        <v>0.8</v>
      </c>
      <c r="Z16" s="132" t="n">
        <f aca="false">INDEX(Baseline_Income_Projections,MATCH(U$2,'Country Sales &amp; Assumptions'!$G$13:$G$20,0),MATCH(Sales_Saudi_Arabia[[#This Row],[Year]],'Country Sales &amp; Assumptions'!$G$13:$L$13,0))*Y16</f>
        <v>117976.824</v>
      </c>
      <c r="AA16" s="132" t="n">
        <f aca="false">+Z16*0.06</f>
        <v>7078.60944</v>
      </c>
      <c r="AB16" s="132" t="n">
        <f aca="false">IF(AA16&lt;10000,10000-AA16,0)</f>
        <v>2921.39056</v>
      </c>
      <c r="AC16" s="132" t="n">
        <f aca="false">AA16+AB16</f>
        <v>10000</v>
      </c>
      <c r="AE16" s="134" t="s">
        <v>231</v>
      </c>
      <c r="AF16" s="130" t="n">
        <v>45443</v>
      </c>
      <c r="AG16" s="130" t="str">
        <f aca="false">"Year " &amp; TEXT(YEAR(AF16) - 2023, "0")</f>
        <v>Year 1</v>
      </c>
      <c r="AH16" s="130" t="str">
        <f aca="false">_xlfn.IFS(AI16&lt;90%,"Low",AND(AI16&gt;=90%,AI16&lt;=110%),"Medium", AI16&gt;110%,"High")</f>
        <v>Low</v>
      </c>
      <c r="AI16" s="131" t="n">
        <f aca="false">VLOOKUP(TEXT(AF16,"mmmm"),Seasonality_Table_Gulf,2,0)</f>
        <v>0.8</v>
      </c>
      <c r="AJ16" s="132" t="n">
        <f aca="false">INDEX(Baseline_Income_Projections,MATCH(AE$2,'Country Sales &amp; Assumptions'!$G$13:$G$20,0),MATCH(Sales_Saudi_Arabia[[#This Row],[Year]],'Country Sales &amp; Assumptions'!$G$13:$L$13,0))*AI16</f>
        <v>99333.5728</v>
      </c>
      <c r="AK16" s="132" t="n">
        <f aca="false">+AJ16*0.06</f>
        <v>5960.014368</v>
      </c>
      <c r="AL16" s="132" t="n">
        <f aca="false">IF(AK16&lt;10000,10000-AK16,0)</f>
        <v>4039.985632</v>
      </c>
      <c r="AM16" s="132" t="n">
        <f aca="false">AK16+AL16</f>
        <v>10000</v>
      </c>
      <c r="AO16" s="134" t="s">
        <v>231</v>
      </c>
      <c r="AP16" s="130" t="n">
        <v>45443</v>
      </c>
      <c r="AQ16" s="130" t="str">
        <f aca="false">"Year " &amp; TEXT(YEAR(AP16) - 2023, "0")</f>
        <v>Year 1</v>
      </c>
      <c r="AR16" s="130" t="str">
        <f aca="false">_xlfn.IFS(AS16&lt;90%,"Low",AND(AS16&gt;=90%,AS16&lt;=110%),"Medium", AS16&gt;110%,"High")</f>
        <v>Medium</v>
      </c>
      <c r="AS16" s="131" t="n">
        <f aca="false">VLOOKUP(TEXT(AP16,"mmmm"),Seasonality_Table_Mediterranean,2,0)</f>
        <v>1.1</v>
      </c>
      <c r="AT16" s="132" t="n">
        <f aca="false">INDEX(Baseline_Income_Projections,MATCH(AO$2,'Country Sales &amp; Assumptions'!$G$13:$G$20,0),MATCH(Sales_Saudi_Arabia[[#This Row],[Year]],'Country Sales &amp; Assumptions'!$G$13:$L$13,0))*AS16</f>
        <v>127191.03243</v>
      </c>
      <c r="AU16" s="132" t="n">
        <f aca="false">+AT16*0.06</f>
        <v>7631.4619458</v>
      </c>
      <c r="AV16" s="132" t="n">
        <f aca="false">IF(AU16&lt;10000,10000-AU16,0)</f>
        <v>2368.5380542</v>
      </c>
      <c r="AW16" s="132" t="n">
        <f aca="false">AU16+AV16</f>
        <v>10000</v>
      </c>
      <c r="AY16" s="134" t="s">
        <v>231</v>
      </c>
      <c r="AZ16" s="130" t="n">
        <v>45443</v>
      </c>
      <c r="BA16" s="130" t="str">
        <f aca="false">"Year " &amp; TEXT(YEAR(AZ16) - 2023, "0")</f>
        <v>Year 1</v>
      </c>
      <c r="BB16" s="130" t="str">
        <f aca="false">_xlfn.IFS(BC16&lt;90%,"Low",AND(BC16&gt;=90%,BC16&lt;=110%),"Medium", BC16&gt;110%,"High")</f>
        <v>Medium</v>
      </c>
      <c r="BC16" s="131" t="n">
        <f aca="false">VLOOKUP(TEXT(AZ16,"mmmm"),Seasonality_Table_Mediterranean,2,0)</f>
        <v>1.1</v>
      </c>
      <c r="BD16" s="132" t="n">
        <f aca="false">INDEX(Baseline_Income_Projections,MATCH(AY$2,'Country Sales &amp; Assumptions'!$G$13:$G$20,0),MATCH(Sales_Saudi_Arabia[[#This Row],[Year]],'Country Sales &amp; Assumptions'!$G$13:$L$13,0))*BC16</f>
        <v>115012.370198</v>
      </c>
      <c r="BE16" s="132" t="n">
        <f aca="false">+BD16*0.06</f>
        <v>6900.74221188</v>
      </c>
      <c r="BF16" s="132" t="n">
        <f aca="false">IF(BE16&lt;10000,10000-BE16,0)</f>
        <v>3099.25778812</v>
      </c>
      <c r="BG16" s="132" t="n">
        <f aca="false">BE16+BF16</f>
        <v>10000</v>
      </c>
      <c r="BI16" s="134" t="s">
        <v>231</v>
      </c>
      <c r="BJ16" s="130" t="n">
        <v>45443</v>
      </c>
      <c r="BK16" s="130" t="str">
        <f aca="false">"Year " &amp; TEXT(YEAR(BJ16) - 2023, "0")</f>
        <v>Year 1</v>
      </c>
      <c r="BL16" s="130" t="str">
        <f aca="false">_xlfn.IFS(BM16&lt;90%,"Low",AND(BM16&gt;=90%,BM16&lt;=110%),"Medium", BM16&gt;110%,"High")</f>
        <v>Medium</v>
      </c>
      <c r="BM16" s="131" t="n">
        <f aca="false">VLOOKUP(TEXT(BJ16,"mmmm"),Seasonality_Table_Mediterranean,2,0)</f>
        <v>1.1</v>
      </c>
      <c r="BN16" s="132" t="n">
        <f aca="false">INDEX(Baseline_Income_Projections,MATCH(BI$2,'Country Sales &amp; Assumptions'!$G$13:$G$20,0),MATCH(Sales_Saudi_Arabia[[#This Row],[Year]],'Country Sales &amp; Assumptions'!$G$13:$L$13,0))*BM16</f>
        <v>118238.99472</v>
      </c>
      <c r="BO16" s="132" t="n">
        <f aca="false">+BN16*0.06</f>
        <v>7094.3396832</v>
      </c>
      <c r="BP16" s="132" t="n">
        <f aca="false">IF(BO16&lt;10000,10000-BO16,0)</f>
        <v>2905.6603168</v>
      </c>
      <c r="BQ16" s="132" t="n">
        <f aca="false">BO16+BP16</f>
        <v>10000</v>
      </c>
    </row>
    <row r="17" customFormat="false" ht="11.25" hidden="false" customHeight="true" outlineLevel="0" collapsed="false">
      <c r="A17" s="134" t="s">
        <v>231</v>
      </c>
      <c r="B17" s="130" t="n">
        <v>45473</v>
      </c>
      <c r="C17" s="130" t="str">
        <f aca="false">"Year " &amp; TEXT(YEAR(B17) - 2023, "0")</f>
        <v>Year 1</v>
      </c>
      <c r="D17" s="130" t="str">
        <f aca="false">_xlfn.IFS(E17&lt;90%,"Low",AND(E17&gt;=90%,E17&lt;=110%),"Medium", E17&gt;110%,"High")</f>
        <v>Low</v>
      </c>
      <c r="E17" s="131" t="n">
        <f aca="false">VLOOKUP(TEXT(B17,"mmmm"),Seasonality_Table_Gulf,2,0)</f>
        <v>0.75</v>
      </c>
      <c r="F17" s="132" t="n">
        <f aca="false">INDEX(Baseline_Income_Projections,MATCH("Saudi Arabia",'Country Sales &amp; Assumptions'!$G$13:$G$20,0),MATCH(Sales_Saudi_Arabia[[#This Row],[Year]],'Country Sales &amp; Assumptions'!$G$13:$L$13,0))*E17</f>
        <v>81928.35</v>
      </c>
      <c r="G17" s="132" t="n">
        <f aca="false">+F17*0.06</f>
        <v>4915.701</v>
      </c>
      <c r="H17" s="132" t="n">
        <f aca="false">IF(G17&lt;10000,10000-G17,0)</f>
        <v>5084.299</v>
      </c>
      <c r="I17" s="132" t="n">
        <f aca="false">G17+H17</f>
        <v>10000</v>
      </c>
      <c r="K17" s="129" t="s">
        <v>231</v>
      </c>
      <c r="L17" s="130" t="n">
        <v>45473</v>
      </c>
      <c r="M17" s="130" t="str">
        <f aca="false">"Year " &amp; TEXT(YEAR(L17) - 2023, "0")</f>
        <v>Year 1</v>
      </c>
      <c r="N17" s="130" t="str">
        <f aca="false">_xlfn.IFS(O17&lt;90%,"Low",AND(O17&gt;=90%,O17&lt;=110%),"Medium", O17&gt;110%,"High")</f>
        <v>Low</v>
      </c>
      <c r="O17" s="131" t="n">
        <f aca="false">VLOOKUP(TEXT(L17,"mmmm"),Seasonality_Table_Gulf,2,0)</f>
        <v>0.75</v>
      </c>
      <c r="P17" s="132" t="n">
        <f aca="false">INDEX(Baseline_Income_Projections,MATCH(K$2,'Country Sales &amp; Assumptions'!$G$13:$G$20,0),MATCH(Sales_Saudi_Arabia[[#This Row],[Year]],'Country Sales &amp; Assumptions'!$G$13:$L$13,0))*O17</f>
        <v>103385.775</v>
      </c>
      <c r="Q17" s="132" t="n">
        <f aca="false">+P17*0.06</f>
        <v>6203.1465</v>
      </c>
      <c r="R17" s="132" t="n">
        <f aca="false">IF(Q17&lt;10000,10000-Q17,0)</f>
        <v>3796.8535</v>
      </c>
      <c r="S17" s="133" t="n">
        <f aca="false">Q17+R17</f>
        <v>10000</v>
      </c>
      <c r="U17" s="134" t="s">
        <v>231</v>
      </c>
      <c r="V17" s="130" t="n">
        <v>45473</v>
      </c>
      <c r="W17" s="130" t="str">
        <f aca="false">"Year " &amp; TEXT(YEAR(V17) - 2023, "0")</f>
        <v>Year 1</v>
      </c>
      <c r="X17" s="130" t="str">
        <f aca="false">_xlfn.IFS(Y17&lt;90%,"Low",AND(Y17&gt;=90%,Y17&lt;=110%),"Medium", Y17&gt;110%,"High")</f>
        <v>Low</v>
      </c>
      <c r="Y17" s="131" t="n">
        <f aca="false">VLOOKUP(TEXT(V17,"mmmm"),Seasonality_Table_Gulf,2,0)</f>
        <v>0.75</v>
      </c>
      <c r="Z17" s="132" t="n">
        <f aca="false">INDEX(Baseline_Income_Projections,MATCH(U$2,'Country Sales &amp; Assumptions'!$G$13:$G$20,0),MATCH(Sales_Saudi_Arabia[[#This Row],[Year]],'Country Sales &amp; Assumptions'!$G$13:$L$13,0))*Y17</f>
        <v>110603.2725</v>
      </c>
      <c r="AA17" s="132" t="n">
        <f aca="false">+Z17*0.06</f>
        <v>6636.19635</v>
      </c>
      <c r="AB17" s="132" t="n">
        <f aca="false">IF(AA17&lt;10000,10000-AA17,0)</f>
        <v>3363.80365</v>
      </c>
      <c r="AC17" s="132" t="n">
        <f aca="false">AA17+AB17</f>
        <v>10000</v>
      </c>
      <c r="AE17" s="134" t="s">
        <v>231</v>
      </c>
      <c r="AF17" s="130" t="n">
        <v>45473</v>
      </c>
      <c r="AG17" s="130" t="str">
        <f aca="false">"Year " &amp; TEXT(YEAR(AF17) - 2023, "0")</f>
        <v>Year 1</v>
      </c>
      <c r="AH17" s="130" t="str">
        <f aca="false">_xlfn.IFS(AI17&lt;90%,"Low",AND(AI17&gt;=90%,AI17&lt;=110%),"Medium", AI17&gt;110%,"High")</f>
        <v>Low</v>
      </c>
      <c r="AI17" s="131" t="n">
        <f aca="false">VLOOKUP(TEXT(AF17,"mmmm"),Seasonality_Table_Gulf,2,0)</f>
        <v>0.75</v>
      </c>
      <c r="AJ17" s="132" t="n">
        <f aca="false">INDEX(Baseline_Income_Projections,MATCH(AE$2,'Country Sales &amp; Assumptions'!$G$13:$G$20,0),MATCH(Sales_Saudi_Arabia[[#This Row],[Year]],'Country Sales &amp; Assumptions'!$G$13:$L$13,0))*AI17</f>
        <v>93125.2245</v>
      </c>
      <c r="AK17" s="132" t="n">
        <f aca="false">+AJ17*0.06</f>
        <v>5587.51347</v>
      </c>
      <c r="AL17" s="132" t="n">
        <f aca="false">IF(AK17&lt;10000,10000-AK17,0)</f>
        <v>4412.48653</v>
      </c>
      <c r="AM17" s="132" t="n">
        <f aca="false">AK17+AL17</f>
        <v>10000</v>
      </c>
      <c r="AO17" s="134" t="s">
        <v>231</v>
      </c>
      <c r="AP17" s="130" t="n">
        <v>45473</v>
      </c>
      <c r="AQ17" s="130" t="str">
        <f aca="false">"Year " &amp; TEXT(YEAR(AP17) - 2023, "0")</f>
        <v>Year 1</v>
      </c>
      <c r="AR17" s="130" t="str">
        <f aca="false">_xlfn.IFS(AS17&lt;90%,"Low",AND(AS17&gt;=90%,AS17&lt;=110%),"Medium", AS17&gt;110%,"High")</f>
        <v>Medium</v>
      </c>
      <c r="AS17" s="131" t="n">
        <f aca="false">VLOOKUP(TEXT(AP17,"mmmm"),Seasonality_Table_Mediterranean,2,0)</f>
        <v>1</v>
      </c>
      <c r="AT17" s="132" t="n">
        <f aca="false">INDEX(Baseline_Income_Projections,MATCH(AO$2,'Country Sales &amp; Assumptions'!$G$13:$G$20,0),MATCH(Sales_Saudi_Arabia[[#This Row],[Year]],'Country Sales &amp; Assumptions'!$G$13:$L$13,0))*AS17</f>
        <v>115628.2113</v>
      </c>
      <c r="AU17" s="132" t="n">
        <f aca="false">+AT17*0.06</f>
        <v>6937.692678</v>
      </c>
      <c r="AV17" s="132" t="n">
        <f aca="false">IF(AU17&lt;10000,10000-AU17,0)</f>
        <v>3062.307322</v>
      </c>
      <c r="AW17" s="132" t="n">
        <f aca="false">AU17+AV17</f>
        <v>10000</v>
      </c>
      <c r="AY17" s="134" t="s">
        <v>231</v>
      </c>
      <c r="AZ17" s="130" t="n">
        <v>45473</v>
      </c>
      <c r="BA17" s="130" t="str">
        <f aca="false">"Year " &amp; TEXT(YEAR(AZ17) - 2023, "0")</f>
        <v>Year 1</v>
      </c>
      <c r="BB17" s="130" t="str">
        <f aca="false">_xlfn.IFS(BC17&lt;90%,"Low",AND(BC17&gt;=90%,BC17&lt;=110%),"Medium", BC17&gt;110%,"High")</f>
        <v>Medium</v>
      </c>
      <c r="BC17" s="131" t="n">
        <f aca="false">VLOOKUP(TEXT(AZ17,"mmmm"),Seasonality_Table_Mediterranean,2,0)</f>
        <v>1</v>
      </c>
      <c r="BD17" s="132" t="n">
        <f aca="false">INDEX(Baseline_Income_Projections,MATCH(AY$2,'Country Sales &amp; Assumptions'!$G$13:$G$20,0),MATCH(Sales_Saudi_Arabia[[#This Row],[Year]],'Country Sales &amp; Assumptions'!$G$13:$L$13,0))*BC17</f>
        <v>104556.70018</v>
      </c>
      <c r="BE17" s="132" t="n">
        <f aca="false">+BD17*0.06</f>
        <v>6273.4020108</v>
      </c>
      <c r="BF17" s="132" t="n">
        <f aca="false">IF(BE17&lt;10000,10000-BE17,0)</f>
        <v>3726.5979892</v>
      </c>
      <c r="BG17" s="132" t="n">
        <f aca="false">BE17+BF17</f>
        <v>10000</v>
      </c>
      <c r="BI17" s="134" t="s">
        <v>231</v>
      </c>
      <c r="BJ17" s="130" t="n">
        <v>45473</v>
      </c>
      <c r="BK17" s="130" t="str">
        <f aca="false">"Year " &amp; TEXT(YEAR(BJ17) - 2023, "0")</f>
        <v>Year 1</v>
      </c>
      <c r="BL17" s="130" t="str">
        <f aca="false">_xlfn.IFS(BM17&lt;90%,"Low",AND(BM17&gt;=90%,BM17&lt;=110%),"Medium", BM17&gt;110%,"High")</f>
        <v>Medium</v>
      </c>
      <c r="BM17" s="131" t="n">
        <f aca="false">VLOOKUP(TEXT(BJ17,"mmmm"),Seasonality_Table_Mediterranean,2,0)</f>
        <v>1</v>
      </c>
      <c r="BN17" s="132" t="n">
        <f aca="false">INDEX(Baseline_Income_Projections,MATCH(BI$2,'Country Sales &amp; Assumptions'!$G$13:$G$20,0),MATCH(Sales_Saudi_Arabia[[#This Row],[Year]],'Country Sales &amp; Assumptions'!$G$13:$L$13,0))*BM17</f>
        <v>107489.9952</v>
      </c>
      <c r="BO17" s="132" t="n">
        <f aca="false">+BN17*0.06</f>
        <v>6449.399712</v>
      </c>
      <c r="BP17" s="132" t="n">
        <f aca="false">IF(BO17&lt;10000,10000-BO17,0)</f>
        <v>3550.600288</v>
      </c>
      <c r="BQ17" s="132" t="n">
        <f aca="false">BO17+BP17</f>
        <v>10000</v>
      </c>
    </row>
    <row r="18" customFormat="false" ht="11.25" hidden="false" customHeight="true" outlineLevel="0" collapsed="false">
      <c r="A18" s="134" t="s">
        <v>231</v>
      </c>
      <c r="B18" s="130" t="n">
        <v>45504</v>
      </c>
      <c r="C18" s="130" t="str">
        <f aca="false">"Year " &amp; TEXT(YEAR(B18) - 2023, "0")</f>
        <v>Year 1</v>
      </c>
      <c r="D18" s="130" t="str">
        <f aca="false">_xlfn.IFS(E18&lt;90%,"Low",AND(E18&gt;=90%,E18&lt;=110%),"Medium", E18&gt;110%,"High")</f>
        <v>Low</v>
      </c>
      <c r="E18" s="131" t="n">
        <f aca="false">VLOOKUP(TEXT(B18,"mmmm"),Seasonality_Table_Gulf,2,0)</f>
        <v>0.7</v>
      </c>
      <c r="F18" s="132" t="n">
        <f aca="false">INDEX(Baseline_Income_Projections,MATCH("Saudi Arabia",'Country Sales &amp; Assumptions'!$G$13:$G$20,0),MATCH(Sales_Saudi_Arabia[[#This Row],[Year]],'Country Sales &amp; Assumptions'!$G$13:$L$13,0))*E18</f>
        <v>76466.46</v>
      </c>
      <c r="G18" s="132" t="n">
        <f aca="false">+F18*0.06</f>
        <v>4587.9876</v>
      </c>
      <c r="H18" s="132" t="n">
        <f aca="false">IF(G18&lt;10000,10000-G18,0)</f>
        <v>5412.0124</v>
      </c>
      <c r="I18" s="132" t="n">
        <f aca="false">G18+H18</f>
        <v>10000</v>
      </c>
      <c r="K18" s="129" t="s">
        <v>231</v>
      </c>
      <c r="L18" s="130" t="n">
        <v>45504</v>
      </c>
      <c r="M18" s="130" t="str">
        <f aca="false">"Year " &amp; TEXT(YEAR(L18) - 2023, "0")</f>
        <v>Year 1</v>
      </c>
      <c r="N18" s="130" t="str">
        <f aca="false">_xlfn.IFS(O18&lt;90%,"Low",AND(O18&gt;=90%,O18&lt;=110%),"Medium", O18&gt;110%,"High")</f>
        <v>Low</v>
      </c>
      <c r="O18" s="131" t="n">
        <f aca="false">VLOOKUP(TEXT(L18,"mmmm"),Seasonality_Table_Gulf,2,0)</f>
        <v>0.7</v>
      </c>
      <c r="P18" s="132" t="n">
        <f aca="false">INDEX(Baseline_Income_Projections,MATCH(K$2,'Country Sales &amp; Assumptions'!$G$13:$G$20,0),MATCH(Sales_Saudi_Arabia[[#This Row],[Year]],'Country Sales &amp; Assumptions'!$G$13:$L$13,0))*O18</f>
        <v>96493.39</v>
      </c>
      <c r="Q18" s="132" t="n">
        <f aca="false">+P18*0.06</f>
        <v>5789.6034</v>
      </c>
      <c r="R18" s="132" t="n">
        <f aca="false">IF(Q18&lt;10000,10000-Q18,0)</f>
        <v>4210.3966</v>
      </c>
      <c r="S18" s="133" t="n">
        <f aca="false">Q18+R18</f>
        <v>10000</v>
      </c>
      <c r="U18" s="134" t="s">
        <v>231</v>
      </c>
      <c r="V18" s="130" t="n">
        <v>45504</v>
      </c>
      <c r="W18" s="130" t="str">
        <f aca="false">"Year " &amp; TEXT(YEAR(V18) - 2023, "0")</f>
        <v>Year 1</v>
      </c>
      <c r="X18" s="130" t="str">
        <f aca="false">_xlfn.IFS(Y18&lt;90%,"Low",AND(Y18&gt;=90%,Y18&lt;=110%),"Medium", Y18&gt;110%,"High")</f>
        <v>Low</v>
      </c>
      <c r="Y18" s="131" t="n">
        <f aca="false">VLOOKUP(TEXT(V18,"mmmm"),Seasonality_Table_Gulf,2,0)</f>
        <v>0.7</v>
      </c>
      <c r="Z18" s="132" t="n">
        <f aca="false">INDEX(Baseline_Income_Projections,MATCH(U$2,'Country Sales &amp; Assumptions'!$G$13:$G$20,0),MATCH(Sales_Saudi_Arabia[[#This Row],[Year]],'Country Sales &amp; Assumptions'!$G$13:$L$13,0))*Y18</f>
        <v>103229.721</v>
      </c>
      <c r="AA18" s="132" t="n">
        <f aca="false">+Z18*0.06</f>
        <v>6193.78326</v>
      </c>
      <c r="AB18" s="132" t="n">
        <f aca="false">IF(AA18&lt;10000,10000-AA18,0)</f>
        <v>3806.21674</v>
      </c>
      <c r="AC18" s="132" t="n">
        <f aca="false">AA18+AB18</f>
        <v>10000</v>
      </c>
      <c r="AE18" s="134" t="s">
        <v>231</v>
      </c>
      <c r="AF18" s="130" t="n">
        <v>45504</v>
      </c>
      <c r="AG18" s="130" t="str">
        <f aca="false">"Year " &amp; TEXT(YEAR(AF18) - 2023, "0")</f>
        <v>Year 1</v>
      </c>
      <c r="AH18" s="130" t="str">
        <f aca="false">_xlfn.IFS(AI18&lt;90%,"Low",AND(AI18&gt;=90%,AI18&lt;=110%),"Medium", AI18&gt;110%,"High")</f>
        <v>Low</v>
      </c>
      <c r="AI18" s="131" t="n">
        <f aca="false">VLOOKUP(TEXT(AF18,"mmmm"),Seasonality_Table_Gulf,2,0)</f>
        <v>0.7</v>
      </c>
      <c r="AJ18" s="132" t="n">
        <f aca="false">INDEX(Baseline_Income_Projections,MATCH(AE$2,'Country Sales &amp; Assumptions'!$G$13:$G$20,0),MATCH(Sales_Saudi_Arabia[[#This Row],[Year]],'Country Sales &amp; Assumptions'!$G$13:$L$13,0))*AI18</f>
        <v>86916.8762</v>
      </c>
      <c r="AK18" s="132" t="n">
        <f aca="false">+AJ18*0.06</f>
        <v>5215.012572</v>
      </c>
      <c r="AL18" s="132" t="n">
        <f aca="false">IF(AK18&lt;10000,10000-AK18,0)</f>
        <v>4784.987428</v>
      </c>
      <c r="AM18" s="132" t="n">
        <f aca="false">AK18+AL18</f>
        <v>10000</v>
      </c>
      <c r="AO18" s="134" t="s">
        <v>231</v>
      </c>
      <c r="AP18" s="130" t="n">
        <v>45504</v>
      </c>
      <c r="AQ18" s="130" t="str">
        <f aca="false">"Year " &amp; TEXT(YEAR(AP18) - 2023, "0")</f>
        <v>Year 1</v>
      </c>
      <c r="AR18" s="130" t="str">
        <f aca="false">_xlfn.IFS(AS18&lt;90%,"Low",AND(AS18&gt;=90%,AS18&lt;=110%),"Medium", AS18&gt;110%,"High")</f>
        <v>Medium</v>
      </c>
      <c r="AS18" s="131" t="n">
        <f aca="false">VLOOKUP(TEXT(AP18,"mmmm"),Seasonality_Table_Mediterranean,2,0)</f>
        <v>0.9</v>
      </c>
      <c r="AT18" s="132" t="n">
        <f aca="false">INDEX(Baseline_Income_Projections,MATCH(AO$2,'Country Sales &amp; Assumptions'!$G$13:$G$20,0),MATCH(Sales_Saudi_Arabia[[#This Row],[Year]],'Country Sales &amp; Assumptions'!$G$13:$L$13,0))*AS18</f>
        <v>104065.39017</v>
      </c>
      <c r="AU18" s="132" t="n">
        <f aca="false">+AT18*0.06</f>
        <v>6243.9234102</v>
      </c>
      <c r="AV18" s="132" t="n">
        <f aca="false">IF(AU18&lt;10000,10000-AU18,0)</f>
        <v>3756.0765898</v>
      </c>
      <c r="AW18" s="132" t="n">
        <f aca="false">AU18+AV18</f>
        <v>10000</v>
      </c>
      <c r="AY18" s="134" t="s">
        <v>231</v>
      </c>
      <c r="AZ18" s="130" t="n">
        <v>45504</v>
      </c>
      <c r="BA18" s="130" t="str">
        <f aca="false">"Year " &amp; TEXT(YEAR(AZ18) - 2023, "0")</f>
        <v>Year 1</v>
      </c>
      <c r="BB18" s="130" t="str">
        <f aca="false">_xlfn.IFS(BC18&lt;90%,"Low",AND(BC18&gt;=90%,BC18&lt;=110%),"Medium", BC18&gt;110%,"High")</f>
        <v>Medium</v>
      </c>
      <c r="BC18" s="131" t="n">
        <f aca="false">VLOOKUP(TEXT(AZ18,"mmmm"),Seasonality_Table_Mediterranean,2,0)</f>
        <v>0.9</v>
      </c>
      <c r="BD18" s="132" t="n">
        <f aca="false">INDEX(Baseline_Income_Projections,MATCH(AY$2,'Country Sales &amp; Assumptions'!$G$13:$G$20,0),MATCH(Sales_Saudi_Arabia[[#This Row],[Year]],'Country Sales &amp; Assumptions'!$G$13:$L$13,0))*BC18</f>
        <v>94101.030162</v>
      </c>
      <c r="BE18" s="132" t="n">
        <f aca="false">+BD18*0.06</f>
        <v>5646.06180972</v>
      </c>
      <c r="BF18" s="132" t="n">
        <f aca="false">IF(BE18&lt;10000,10000-BE18,0)</f>
        <v>4353.93819028</v>
      </c>
      <c r="BG18" s="132" t="n">
        <f aca="false">BE18+BF18</f>
        <v>10000</v>
      </c>
      <c r="BI18" s="134" t="s">
        <v>231</v>
      </c>
      <c r="BJ18" s="130" t="n">
        <v>45504</v>
      </c>
      <c r="BK18" s="130" t="str">
        <f aca="false">"Year " &amp; TEXT(YEAR(BJ18) - 2023, "0")</f>
        <v>Year 1</v>
      </c>
      <c r="BL18" s="130" t="str">
        <f aca="false">_xlfn.IFS(BM18&lt;90%,"Low",AND(BM18&gt;=90%,BM18&lt;=110%),"Medium", BM18&gt;110%,"High")</f>
        <v>Medium</v>
      </c>
      <c r="BM18" s="131" t="n">
        <f aca="false">VLOOKUP(TEXT(BJ18,"mmmm"),Seasonality_Table_Mediterranean,2,0)</f>
        <v>0.9</v>
      </c>
      <c r="BN18" s="132" t="n">
        <f aca="false">INDEX(Baseline_Income_Projections,MATCH(BI$2,'Country Sales &amp; Assumptions'!$G$13:$G$20,0),MATCH(Sales_Saudi_Arabia[[#This Row],[Year]],'Country Sales &amp; Assumptions'!$G$13:$L$13,0))*BM18</f>
        <v>96740.99568</v>
      </c>
      <c r="BO18" s="132" t="n">
        <f aca="false">+BN18*0.06</f>
        <v>5804.4597408</v>
      </c>
      <c r="BP18" s="132" t="n">
        <f aca="false">IF(BO18&lt;10000,10000-BO18,0)</f>
        <v>4195.5402592</v>
      </c>
      <c r="BQ18" s="132" t="n">
        <f aca="false">BO18+BP18</f>
        <v>10000</v>
      </c>
    </row>
    <row r="19" customFormat="false" ht="11.25" hidden="false" customHeight="true" outlineLevel="0" collapsed="false">
      <c r="A19" s="134" t="s">
        <v>231</v>
      </c>
      <c r="B19" s="130" t="n">
        <v>45535</v>
      </c>
      <c r="C19" s="130" t="str">
        <f aca="false">"Year " &amp; TEXT(YEAR(B19) - 2023, "0")</f>
        <v>Year 1</v>
      </c>
      <c r="D19" s="130" t="str">
        <f aca="false">_xlfn.IFS(E19&lt;90%,"Low",AND(E19&gt;=90%,E19&lt;=110%),"Medium", E19&gt;110%,"High")</f>
        <v>Low</v>
      </c>
      <c r="E19" s="131" t="n">
        <f aca="false">VLOOKUP(TEXT(B19,"mmmm"),Seasonality_Table_Gulf,2,0)</f>
        <v>0.75</v>
      </c>
      <c r="F19" s="132" t="n">
        <f aca="false">INDEX(Baseline_Income_Projections,MATCH("Saudi Arabia",'Country Sales &amp; Assumptions'!$G$13:$G$20,0),MATCH(Sales_Saudi_Arabia[[#This Row],[Year]],'Country Sales &amp; Assumptions'!$G$13:$L$13,0))*E19</f>
        <v>81928.35</v>
      </c>
      <c r="G19" s="132" t="n">
        <f aca="false">+F19*0.06</f>
        <v>4915.701</v>
      </c>
      <c r="H19" s="132" t="n">
        <f aca="false">IF(G19&lt;10000,10000-G19,0)</f>
        <v>5084.299</v>
      </c>
      <c r="I19" s="132" t="n">
        <f aca="false">G19+H19</f>
        <v>10000</v>
      </c>
      <c r="K19" s="129" t="s">
        <v>231</v>
      </c>
      <c r="L19" s="130" t="n">
        <v>45535</v>
      </c>
      <c r="M19" s="130" t="str">
        <f aca="false">"Year " &amp; TEXT(YEAR(L19) - 2023, "0")</f>
        <v>Year 1</v>
      </c>
      <c r="N19" s="130" t="str">
        <f aca="false">_xlfn.IFS(O19&lt;90%,"Low",AND(O19&gt;=90%,O19&lt;=110%),"Medium", O19&gt;110%,"High")</f>
        <v>Low</v>
      </c>
      <c r="O19" s="131" t="n">
        <f aca="false">VLOOKUP(TEXT(L19,"mmmm"),Seasonality_Table_Gulf,2,0)</f>
        <v>0.75</v>
      </c>
      <c r="P19" s="132" t="n">
        <f aca="false">INDEX(Baseline_Income_Projections,MATCH(K$2,'Country Sales &amp; Assumptions'!$G$13:$G$20,0),MATCH(Sales_Saudi_Arabia[[#This Row],[Year]],'Country Sales &amp; Assumptions'!$G$13:$L$13,0))*O19</f>
        <v>103385.775</v>
      </c>
      <c r="Q19" s="132" t="n">
        <f aca="false">+P19*0.06</f>
        <v>6203.1465</v>
      </c>
      <c r="R19" s="132" t="n">
        <f aca="false">IF(Q19&lt;10000,10000-Q19,0)</f>
        <v>3796.8535</v>
      </c>
      <c r="S19" s="133" t="n">
        <f aca="false">Q19+R19</f>
        <v>10000</v>
      </c>
      <c r="U19" s="134" t="s">
        <v>231</v>
      </c>
      <c r="V19" s="130" t="n">
        <v>45535</v>
      </c>
      <c r="W19" s="130" t="str">
        <f aca="false">"Year " &amp; TEXT(YEAR(V19) - 2023, "0")</f>
        <v>Year 1</v>
      </c>
      <c r="X19" s="130" t="str">
        <f aca="false">_xlfn.IFS(Y19&lt;90%,"Low",AND(Y19&gt;=90%,Y19&lt;=110%),"Medium", Y19&gt;110%,"High")</f>
        <v>Low</v>
      </c>
      <c r="Y19" s="131" t="n">
        <f aca="false">VLOOKUP(TEXT(V19,"mmmm"),Seasonality_Table_Gulf,2,0)</f>
        <v>0.75</v>
      </c>
      <c r="Z19" s="132" t="n">
        <f aca="false">INDEX(Baseline_Income_Projections,MATCH(U$2,'Country Sales &amp; Assumptions'!$G$13:$G$20,0),MATCH(Sales_Saudi_Arabia[[#This Row],[Year]],'Country Sales &amp; Assumptions'!$G$13:$L$13,0))*Y19</f>
        <v>110603.2725</v>
      </c>
      <c r="AA19" s="132" t="n">
        <f aca="false">+Z19*0.06</f>
        <v>6636.19635</v>
      </c>
      <c r="AB19" s="132" t="n">
        <f aca="false">IF(AA19&lt;10000,10000-AA19,0)</f>
        <v>3363.80365</v>
      </c>
      <c r="AC19" s="132" t="n">
        <f aca="false">AA19+AB19</f>
        <v>10000</v>
      </c>
      <c r="AE19" s="134" t="s">
        <v>231</v>
      </c>
      <c r="AF19" s="130" t="n">
        <v>45535</v>
      </c>
      <c r="AG19" s="130" t="str">
        <f aca="false">"Year " &amp; TEXT(YEAR(AF19) - 2023, "0")</f>
        <v>Year 1</v>
      </c>
      <c r="AH19" s="130" t="str">
        <f aca="false">_xlfn.IFS(AI19&lt;90%,"Low",AND(AI19&gt;=90%,AI19&lt;=110%),"Medium", AI19&gt;110%,"High")</f>
        <v>Low</v>
      </c>
      <c r="AI19" s="131" t="n">
        <f aca="false">VLOOKUP(TEXT(AF19,"mmmm"),Seasonality_Table_Gulf,2,0)</f>
        <v>0.75</v>
      </c>
      <c r="AJ19" s="132" t="n">
        <f aca="false">INDEX(Baseline_Income_Projections,MATCH(AE$2,'Country Sales &amp; Assumptions'!$G$13:$G$20,0),MATCH(Sales_Saudi_Arabia[[#This Row],[Year]],'Country Sales &amp; Assumptions'!$G$13:$L$13,0))*AI19</f>
        <v>93125.2245</v>
      </c>
      <c r="AK19" s="132" t="n">
        <f aca="false">+AJ19*0.06</f>
        <v>5587.51347</v>
      </c>
      <c r="AL19" s="132" t="n">
        <f aca="false">IF(AK19&lt;10000,10000-AK19,0)</f>
        <v>4412.48653</v>
      </c>
      <c r="AM19" s="132" t="n">
        <f aca="false">AK19+AL19</f>
        <v>10000</v>
      </c>
      <c r="AO19" s="134" t="s">
        <v>231</v>
      </c>
      <c r="AP19" s="130" t="n">
        <v>45535</v>
      </c>
      <c r="AQ19" s="130" t="str">
        <f aca="false">"Year " &amp; TEXT(YEAR(AP19) - 2023, "0")</f>
        <v>Year 1</v>
      </c>
      <c r="AR19" s="130" t="str">
        <f aca="false">_xlfn.IFS(AS19&lt;90%,"Low",AND(AS19&gt;=90%,AS19&lt;=110%),"Medium", AS19&gt;110%,"High")</f>
        <v>Medium</v>
      </c>
      <c r="AS19" s="131" t="n">
        <f aca="false">VLOOKUP(TEXT(AP19,"mmmm"),Seasonality_Table_Mediterranean,2,0)</f>
        <v>0.9</v>
      </c>
      <c r="AT19" s="132" t="n">
        <f aca="false">INDEX(Baseline_Income_Projections,MATCH(AO$2,'Country Sales &amp; Assumptions'!$G$13:$G$20,0),MATCH(Sales_Saudi_Arabia[[#This Row],[Year]],'Country Sales &amp; Assumptions'!$G$13:$L$13,0))*AS19</f>
        <v>104065.39017</v>
      </c>
      <c r="AU19" s="132" t="n">
        <f aca="false">+AT19*0.06</f>
        <v>6243.9234102</v>
      </c>
      <c r="AV19" s="132" t="n">
        <f aca="false">IF(AU19&lt;10000,10000-AU19,0)</f>
        <v>3756.0765898</v>
      </c>
      <c r="AW19" s="132" t="n">
        <f aca="false">AU19+AV19</f>
        <v>10000</v>
      </c>
      <c r="AY19" s="134" t="s">
        <v>231</v>
      </c>
      <c r="AZ19" s="130" t="n">
        <v>45535</v>
      </c>
      <c r="BA19" s="130" t="str">
        <f aca="false">"Year " &amp; TEXT(YEAR(AZ19) - 2023, "0")</f>
        <v>Year 1</v>
      </c>
      <c r="BB19" s="130" t="str">
        <f aca="false">_xlfn.IFS(BC19&lt;90%,"Low",AND(BC19&gt;=90%,BC19&lt;=110%),"Medium", BC19&gt;110%,"High")</f>
        <v>Medium</v>
      </c>
      <c r="BC19" s="131" t="n">
        <f aca="false">VLOOKUP(TEXT(AZ19,"mmmm"),Seasonality_Table_Mediterranean,2,0)</f>
        <v>0.9</v>
      </c>
      <c r="BD19" s="132" t="n">
        <f aca="false">INDEX(Baseline_Income_Projections,MATCH(AY$2,'Country Sales &amp; Assumptions'!$G$13:$G$20,0),MATCH(Sales_Saudi_Arabia[[#This Row],[Year]],'Country Sales &amp; Assumptions'!$G$13:$L$13,0))*BC19</f>
        <v>94101.030162</v>
      </c>
      <c r="BE19" s="132" t="n">
        <f aca="false">+BD19*0.06</f>
        <v>5646.06180972</v>
      </c>
      <c r="BF19" s="132" t="n">
        <f aca="false">IF(BE19&lt;10000,10000-BE19,0)</f>
        <v>4353.93819028</v>
      </c>
      <c r="BG19" s="132" t="n">
        <f aca="false">BE19+BF19</f>
        <v>10000</v>
      </c>
      <c r="BI19" s="134" t="s">
        <v>231</v>
      </c>
      <c r="BJ19" s="130" t="n">
        <v>45535</v>
      </c>
      <c r="BK19" s="130" t="str">
        <f aca="false">"Year " &amp; TEXT(YEAR(BJ19) - 2023, "0")</f>
        <v>Year 1</v>
      </c>
      <c r="BL19" s="130" t="str">
        <f aca="false">_xlfn.IFS(BM19&lt;90%,"Low",AND(BM19&gt;=90%,BM19&lt;=110%),"Medium", BM19&gt;110%,"High")</f>
        <v>Medium</v>
      </c>
      <c r="BM19" s="131" t="n">
        <f aca="false">VLOOKUP(TEXT(BJ19,"mmmm"),Seasonality_Table_Mediterranean,2,0)</f>
        <v>0.9</v>
      </c>
      <c r="BN19" s="132" t="n">
        <f aca="false">INDEX(Baseline_Income_Projections,MATCH(BI$2,'Country Sales &amp; Assumptions'!$G$13:$G$20,0),MATCH(Sales_Saudi_Arabia[[#This Row],[Year]],'Country Sales &amp; Assumptions'!$G$13:$L$13,0))*BM19</f>
        <v>96740.99568</v>
      </c>
      <c r="BO19" s="132" t="n">
        <f aca="false">+BN19*0.06</f>
        <v>5804.4597408</v>
      </c>
      <c r="BP19" s="132" t="n">
        <f aca="false">IF(BO19&lt;10000,10000-BO19,0)</f>
        <v>4195.5402592</v>
      </c>
      <c r="BQ19" s="132" t="n">
        <f aca="false">BO19+BP19</f>
        <v>10000</v>
      </c>
    </row>
    <row r="20" customFormat="false" ht="11.25" hidden="false" customHeight="true" outlineLevel="0" collapsed="false">
      <c r="A20" s="134" t="s">
        <v>231</v>
      </c>
      <c r="B20" s="130" t="n">
        <v>45565</v>
      </c>
      <c r="C20" s="130" t="str">
        <f aca="false">"Year " &amp; TEXT(YEAR(B20) - 2023, "0")</f>
        <v>Year 1</v>
      </c>
      <c r="D20" s="130" t="str">
        <f aca="false">_xlfn.IFS(E20&lt;90%,"Low",AND(E20&gt;=90%,E20&lt;=110%),"Medium", E20&gt;110%,"High")</f>
        <v>Medium</v>
      </c>
      <c r="E20" s="131" t="n">
        <f aca="false">VLOOKUP(TEXT(B20,"mmmm"),Seasonality_Table_Gulf,2,0)</f>
        <v>1</v>
      </c>
      <c r="F20" s="132" t="n">
        <f aca="false">INDEX(Baseline_Income_Projections,MATCH("Saudi Arabia",'Country Sales &amp; Assumptions'!$G$13:$G$20,0),MATCH(Sales_Saudi_Arabia[[#This Row],[Year]],'Country Sales &amp; Assumptions'!$G$13:$L$13,0))*E20</f>
        <v>109237.8</v>
      </c>
      <c r="G20" s="132" t="n">
        <f aca="false">+F20*0.06</f>
        <v>6554.268</v>
      </c>
      <c r="H20" s="132" t="n">
        <f aca="false">IF(G20&lt;10000,10000-G20,0)</f>
        <v>3445.732</v>
      </c>
      <c r="I20" s="132" t="n">
        <f aca="false">G20+H20</f>
        <v>10000</v>
      </c>
      <c r="K20" s="129" t="s">
        <v>231</v>
      </c>
      <c r="L20" s="130" t="n">
        <v>45565</v>
      </c>
      <c r="M20" s="130" t="str">
        <f aca="false">"Year " &amp; TEXT(YEAR(L20) - 2023, "0")</f>
        <v>Year 1</v>
      </c>
      <c r="N20" s="130" t="str">
        <f aca="false">_xlfn.IFS(O20&lt;90%,"Low",AND(O20&gt;=90%,O20&lt;=110%),"Medium", O20&gt;110%,"High")</f>
        <v>Medium</v>
      </c>
      <c r="O20" s="131" t="n">
        <f aca="false">VLOOKUP(TEXT(L20,"mmmm"),Seasonality_Table_Gulf,2,0)</f>
        <v>1</v>
      </c>
      <c r="P20" s="132" t="n">
        <f aca="false">INDEX(Baseline_Income_Projections,MATCH(K$2,'Country Sales &amp; Assumptions'!$G$13:$G$20,0),MATCH(Sales_Saudi_Arabia[[#This Row],[Year]],'Country Sales &amp; Assumptions'!$G$13:$L$13,0))*O20</f>
        <v>137847.7</v>
      </c>
      <c r="Q20" s="132" t="n">
        <f aca="false">+P20*0.06</f>
        <v>8270.862</v>
      </c>
      <c r="R20" s="132" t="n">
        <f aca="false">IF(Q20&lt;10000,10000-Q20,0)</f>
        <v>1729.138</v>
      </c>
      <c r="S20" s="133" t="n">
        <f aca="false">Q20+R20</f>
        <v>10000</v>
      </c>
      <c r="U20" s="134" t="s">
        <v>231</v>
      </c>
      <c r="V20" s="130" t="n">
        <v>45565</v>
      </c>
      <c r="W20" s="130" t="str">
        <f aca="false">"Year " &amp; TEXT(YEAR(V20) - 2023, "0")</f>
        <v>Year 1</v>
      </c>
      <c r="X20" s="130" t="str">
        <f aca="false">_xlfn.IFS(Y20&lt;90%,"Low",AND(Y20&gt;=90%,Y20&lt;=110%),"Medium", Y20&gt;110%,"High")</f>
        <v>Medium</v>
      </c>
      <c r="Y20" s="131" t="n">
        <f aca="false">VLOOKUP(TEXT(V20,"mmmm"),Seasonality_Table_Gulf,2,0)</f>
        <v>1</v>
      </c>
      <c r="Z20" s="132" t="n">
        <f aca="false">INDEX(Baseline_Income_Projections,MATCH(U$2,'Country Sales &amp; Assumptions'!$G$13:$G$20,0),MATCH(Sales_Saudi_Arabia[[#This Row],[Year]],'Country Sales &amp; Assumptions'!$G$13:$L$13,0))*Y20</f>
        <v>147471.03</v>
      </c>
      <c r="AA20" s="132" t="n">
        <f aca="false">+Z20*0.06</f>
        <v>8848.2618</v>
      </c>
      <c r="AB20" s="132" t="n">
        <f aca="false">IF(AA20&lt;10000,10000-AA20,0)</f>
        <v>1151.7382</v>
      </c>
      <c r="AC20" s="132" t="n">
        <f aca="false">AA20+AB20</f>
        <v>10000</v>
      </c>
      <c r="AE20" s="134" t="s">
        <v>231</v>
      </c>
      <c r="AF20" s="130" t="n">
        <v>45565</v>
      </c>
      <c r="AG20" s="130" t="str">
        <f aca="false">"Year " &amp; TEXT(YEAR(AF20) - 2023, "0")</f>
        <v>Year 1</v>
      </c>
      <c r="AH20" s="130" t="str">
        <f aca="false">_xlfn.IFS(AI20&lt;90%,"Low",AND(AI20&gt;=90%,AI20&lt;=110%),"Medium", AI20&gt;110%,"High")</f>
        <v>Medium</v>
      </c>
      <c r="AI20" s="131" t="n">
        <f aca="false">VLOOKUP(TEXT(AF20,"mmmm"),Seasonality_Table_Gulf,2,0)</f>
        <v>1</v>
      </c>
      <c r="AJ20" s="132" t="n">
        <f aca="false">INDEX(Baseline_Income_Projections,MATCH(AE$2,'Country Sales &amp; Assumptions'!$G$13:$G$20,0),MATCH(Sales_Saudi_Arabia[[#This Row],[Year]],'Country Sales &amp; Assumptions'!$G$13:$L$13,0))*AI20</f>
        <v>124166.966</v>
      </c>
      <c r="AK20" s="132" t="n">
        <f aca="false">+AJ20*0.06</f>
        <v>7450.01796</v>
      </c>
      <c r="AL20" s="132" t="n">
        <f aca="false">IF(AK20&lt;10000,10000-AK20,0)</f>
        <v>2549.98204</v>
      </c>
      <c r="AM20" s="132" t="n">
        <f aca="false">AK20+AL20</f>
        <v>10000</v>
      </c>
      <c r="AO20" s="134" t="s">
        <v>231</v>
      </c>
      <c r="AP20" s="130" t="n">
        <v>45565</v>
      </c>
      <c r="AQ20" s="130" t="str">
        <f aca="false">"Year " &amp; TEXT(YEAR(AP20) - 2023, "0")</f>
        <v>Year 1</v>
      </c>
      <c r="AR20" s="130" t="str">
        <f aca="false">_xlfn.IFS(AS20&lt;90%,"Low",AND(AS20&gt;=90%,AS20&lt;=110%),"Medium", AS20&gt;110%,"High")</f>
        <v>Medium</v>
      </c>
      <c r="AS20" s="131" t="n">
        <f aca="false">VLOOKUP(TEXT(AP20,"mmmm"),Seasonality_Table_Mediterranean,2,0)</f>
        <v>1.1</v>
      </c>
      <c r="AT20" s="132" t="n">
        <f aca="false">INDEX(Baseline_Income_Projections,MATCH(AO$2,'Country Sales &amp; Assumptions'!$G$13:$G$20,0),MATCH(Sales_Saudi_Arabia[[#This Row],[Year]],'Country Sales &amp; Assumptions'!$G$13:$L$13,0))*AS20</f>
        <v>127191.03243</v>
      </c>
      <c r="AU20" s="132" t="n">
        <f aca="false">+AT20*0.06</f>
        <v>7631.4619458</v>
      </c>
      <c r="AV20" s="132" t="n">
        <f aca="false">IF(AU20&lt;10000,10000-AU20,0)</f>
        <v>2368.5380542</v>
      </c>
      <c r="AW20" s="132" t="n">
        <f aca="false">AU20+AV20</f>
        <v>10000</v>
      </c>
      <c r="AY20" s="134" t="s">
        <v>231</v>
      </c>
      <c r="AZ20" s="130" t="n">
        <v>45565</v>
      </c>
      <c r="BA20" s="130" t="str">
        <f aca="false">"Year " &amp; TEXT(YEAR(AZ20) - 2023, "0")</f>
        <v>Year 1</v>
      </c>
      <c r="BB20" s="130" t="str">
        <f aca="false">_xlfn.IFS(BC20&lt;90%,"Low",AND(BC20&gt;=90%,BC20&lt;=110%),"Medium", BC20&gt;110%,"High")</f>
        <v>Medium</v>
      </c>
      <c r="BC20" s="131" t="n">
        <f aca="false">VLOOKUP(TEXT(AZ20,"mmmm"),Seasonality_Table_Mediterranean,2,0)</f>
        <v>1.1</v>
      </c>
      <c r="BD20" s="132" t="n">
        <f aca="false">INDEX(Baseline_Income_Projections,MATCH(AY$2,'Country Sales &amp; Assumptions'!$G$13:$G$20,0),MATCH(Sales_Saudi_Arabia[[#This Row],[Year]],'Country Sales &amp; Assumptions'!$G$13:$L$13,0))*BC20</f>
        <v>115012.370198</v>
      </c>
      <c r="BE20" s="132" t="n">
        <f aca="false">+BD20*0.06</f>
        <v>6900.74221188</v>
      </c>
      <c r="BF20" s="132" t="n">
        <f aca="false">IF(BE20&lt;10000,10000-BE20,0)</f>
        <v>3099.25778812</v>
      </c>
      <c r="BG20" s="132" t="n">
        <f aca="false">BE20+BF20</f>
        <v>10000</v>
      </c>
      <c r="BI20" s="134" t="s">
        <v>231</v>
      </c>
      <c r="BJ20" s="130" t="n">
        <v>45565</v>
      </c>
      <c r="BK20" s="130" t="str">
        <f aca="false">"Year " &amp; TEXT(YEAR(BJ20) - 2023, "0")</f>
        <v>Year 1</v>
      </c>
      <c r="BL20" s="130" t="str">
        <f aca="false">_xlfn.IFS(BM20&lt;90%,"Low",AND(BM20&gt;=90%,BM20&lt;=110%),"Medium", BM20&gt;110%,"High")</f>
        <v>Medium</v>
      </c>
      <c r="BM20" s="131" t="n">
        <f aca="false">VLOOKUP(TEXT(BJ20,"mmmm"),Seasonality_Table_Mediterranean,2,0)</f>
        <v>1.1</v>
      </c>
      <c r="BN20" s="132" t="n">
        <f aca="false">INDEX(Baseline_Income_Projections,MATCH(BI$2,'Country Sales &amp; Assumptions'!$G$13:$G$20,0),MATCH(Sales_Saudi_Arabia[[#This Row],[Year]],'Country Sales &amp; Assumptions'!$G$13:$L$13,0))*BM20</f>
        <v>118238.99472</v>
      </c>
      <c r="BO20" s="132" t="n">
        <f aca="false">+BN20*0.06</f>
        <v>7094.3396832</v>
      </c>
      <c r="BP20" s="132" t="n">
        <f aca="false">IF(BO20&lt;10000,10000-BO20,0)</f>
        <v>2905.6603168</v>
      </c>
      <c r="BQ20" s="132" t="n">
        <f aca="false">BO20+BP20</f>
        <v>10000</v>
      </c>
    </row>
    <row r="21" customFormat="false" ht="11.25" hidden="false" customHeight="true" outlineLevel="0" collapsed="false">
      <c r="A21" s="134" t="s">
        <v>231</v>
      </c>
      <c r="B21" s="130" t="n">
        <v>45596</v>
      </c>
      <c r="C21" s="130" t="str">
        <f aca="false">"Year " &amp; TEXT(YEAR(B21) - 2023, "0")</f>
        <v>Year 1</v>
      </c>
      <c r="D21" s="130" t="str">
        <f aca="false">_xlfn.IFS(E21&lt;90%,"Low",AND(E21&gt;=90%,E21&lt;=110%),"Medium", E21&gt;110%,"High")</f>
        <v>Medium</v>
      </c>
      <c r="E21" s="131" t="n">
        <f aca="false">VLOOKUP(TEXT(B21,"mmmm"),Seasonality_Table_Gulf,2,0)</f>
        <v>1.1</v>
      </c>
      <c r="F21" s="132" t="n">
        <f aca="false">INDEX(Baseline_Income_Projections,MATCH("Saudi Arabia",'Country Sales &amp; Assumptions'!$G$13:$G$20,0),MATCH(Sales_Saudi_Arabia[[#This Row],[Year]],'Country Sales &amp; Assumptions'!$G$13:$L$13,0))*E21</f>
        <v>120161.58</v>
      </c>
      <c r="G21" s="132" t="n">
        <f aca="false">+F21*0.06</f>
        <v>7209.6948</v>
      </c>
      <c r="H21" s="132" t="n">
        <f aca="false">IF(G21&lt;10000,10000-G21,0)</f>
        <v>2790.3052</v>
      </c>
      <c r="I21" s="132" t="n">
        <f aca="false">G21+H21</f>
        <v>10000</v>
      </c>
      <c r="K21" s="129" t="s">
        <v>231</v>
      </c>
      <c r="L21" s="130" t="n">
        <v>45596</v>
      </c>
      <c r="M21" s="130" t="str">
        <f aca="false">"Year " &amp; TEXT(YEAR(L21) - 2023, "0")</f>
        <v>Year 1</v>
      </c>
      <c r="N21" s="130" t="str">
        <f aca="false">_xlfn.IFS(O21&lt;90%,"Low",AND(O21&gt;=90%,O21&lt;=110%),"Medium", O21&gt;110%,"High")</f>
        <v>Medium</v>
      </c>
      <c r="O21" s="131" t="n">
        <f aca="false">VLOOKUP(TEXT(L21,"mmmm"),Seasonality_Table_Gulf,2,0)</f>
        <v>1.1</v>
      </c>
      <c r="P21" s="132" t="n">
        <f aca="false">INDEX(Baseline_Income_Projections,MATCH(K$2,'Country Sales &amp; Assumptions'!$G$13:$G$20,0),MATCH(Sales_Saudi_Arabia[[#This Row],[Year]],'Country Sales &amp; Assumptions'!$G$13:$L$13,0))*O21</f>
        <v>151632.47</v>
      </c>
      <c r="Q21" s="132" t="n">
        <f aca="false">+P21*0.06</f>
        <v>9097.9482</v>
      </c>
      <c r="R21" s="132" t="n">
        <f aca="false">IF(Q21&lt;10000,10000-Q21,0)</f>
        <v>902.051799999999</v>
      </c>
      <c r="S21" s="133" t="n">
        <f aca="false">Q21+R21</f>
        <v>10000</v>
      </c>
      <c r="U21" s="134" t="s">
        <v>231</v>
      </c>
      <c r="V21" s="130" t="n">
        <v>45596</v>
      </c>
      <c r="W21" s="130" t="str">
        <f aca="false">"Year " &amp; TEXT(YEAR(V21) - 2023, "0")</f>
        <v>Year 1</v>
      </c>
      <c r="X21" s="130" t="str">
        <f aca="false">_xlfn.IFS(Y21&lt;90%,"Low",AND(Y21&gt;=90%,Y21&lt;=110%),"Medium", Y21&gt;110%,"High")</f>
        <v>Medium</v>
      </c>
      <c r="Y21" s="131" t="n">
        <f aca="false">VLOOKUP(TEXT(V21,"mmmm"),Seasonality_Table_Gulf,2,0)</f>
        <v>1.1</v>
      </c>
      <c r="Z21" s="132" t="n">
        <f aca="false">INDEX(Baseline_Income_Projections,MATCH(U$2,'Country Sales &amp; Assumptions'!$G$13:$G$20,0),MATCH(Sales_Saudi_Arabia[[#This Row],[Year]],'Country Sales &amp; Assumptions'!$G$13:$L$13,0))*Y21</f>
        <v>162218.133</v>
      </c>
      <c r="AA21" s="132" t="n">
        <f aca="false">+Z21*0.06</f>
        <v>9733.08798</v>
      </c>
      <c r="AB21" s="132" t="n">
        <f aca="false">IF(AA21&lt;10000,10000-AA21,0)</f>
        <v>266.91202</v>
      </c>
      <c r="AC21" s="132" t="n">
        <f aca="false">AA21+AB21</f>
        <v>10000</v>
      </c>
      <c r="AE21" s="134" t="s">
        <v>231</v>
      </c>
      <c r="AF21" s="130" t="n">
        <v>45596</v>
      </c>
      <c r="AG21" s="130" t="str">
        <f aca="false">"Year " &amp; TEXT(YEAR(AF21) - 2023, "0")</f>
        <v>Year 1</v>
      </c>
      <c r="AH21" s="130" t="str">
        <f aca="false">_xlfn.IFS(AI21&lt;90%,"Low",AND(AI21&gt;=90%,AI21&lt;=110%),"Medium", AI21&gt;110%,"High")</f>
        <v>Medium</v>
      </c>
      <c r="AI21" s="131" t="n">
        <f aca="false">VLOOKUP(TEXT(AF21,"mmmm"),Seasonality_Table_Gulf,2,0)</f>
        <v>1.1</v>
      </c>
      <c r="AJ21" s="132" t="n">
        <f aca="false">INDEX(Baseline_Income_Projections,MATCH(AE$2,'Country Sales &amp; Assumptions'!$G$13:$G$20,0),MATCH(Sales_Saudi_Arabia[[#This Row],[Year]],'Country Sales &amp; Assumptions'!$G$13:$L$13,0))*AI21</f>
        <v>136583.6626</v>
      </c>
      <c r="AK21" s="132" t="n">
        <f aca="false">+AJ21*0.06</f>
        <v>8195.019756</v>
      </c>
      <c r="AL21" s="132" t="n">
        <f aca="false">IF(AK21&lt;10000,10000-AK21,0)</f>
        <v>1804.980244</v>
      </c>
      <c r="AM21" s="132" t="n">
        <f aca="false">AK21+AL21</f>
        <v>10000</v>
      </c>
      <c r="AO21" s="134" t="s">
        <v>231</v>
      </c>
      <c r="AP21" s="130" t="n">
        <v>45596</v>
      </c>
      <c r="AQ21" s="130" t="str">
        <f aca="false">"Year " &amp; TEXT(YEAR(AP21) - 2023, "0")</f>
        <v>Year 1</v>
      </c>
      <c r="AR21" s="130" t="str">
        <f aca="false">_xlfn.IFS(AS21&lt;90%,"Low",AND(AS21&gt;=90%,AS21&lt;=110%),"Medium", AS21&gt;110%,"High")</f>
        <v>High</v>
      </c>
      <c r="AS21" s="131" t="n">
        <f aca="false">VLOOKUP(TEXT(AP21,"mmmm"),Seasonality_Table_Mediterranean,2,0)</f>
        <v>1.2</v>
      </c>
      <c r="AT21" s="132" t="n">
        <f aca="false">INDEX(Baseline_Income_Projections,MATCH(AO$2,'Country Sales &amp; Assumptions'!$G$13:$G$20,0),MATCH(Sales_Saudi_Arabia[[#This Row],[Year]],'Country Sales &amp; Assumptions'!$G$13:$L$13,0))*AS21</f>
        <v>138753.85356</v>
      </c>
      <c r="AU21" s="132" t="n">
        <f aca="false">+AT21*0.06</f>
        <v>8325.2312136</v>
      </c>
      <c r="AV21" s="132" t="n">
        <f aca="false">IF(AU21&lt;10000,10000-AU21,0)</f>
        <v>1674.7687864</v>
      </c>
      <c r="AW21" s="132" t="n">
        <f aca="false">AU21+AV21</f>
        <v>10000</v>
      </c>
      <c r="AY21" s="134" t="s">
        <v>231</v>
      </c>
      <c r="AZ21" s="130" t="n">
        <v>45596</v>
      </c>
      <c r="BA21" s="130" t="str">
        <f aca="false">"Year " &amp; TEXT(YEAR(AZ21) - 2023, "0")</f>
        <v>Year 1</v>
      </c>
      <c r="BB21" s="130" t="str">
        <f aca="false">_xlfn.IFS(BC21&lt;90%,"Low",AND(BC21&gt;=90%,BC21&lt;=110%),"Medium", BC21&gt;110%,"High")</f>
        <v>High</v>
      </c>
      <c r="BC21" s="131" t="n">
        <f aca="false">VLOOKUP(TEXT(AZ21,"mmmm"),Seasonality_Table_Mediterranean,2,0)</f>
        <v>1.2</v>
      </c>
      <c r="BD21" s="132" t="n">
        <f aca="false">INDEX(Baseline_Income_Projections,MATCH(AY$2,'Country Sales &amp; Assumptions'!$G$13:$G$20,0),MATCH(Sales_Saudi_Arabia[[#This Row],[Year]],'Country Sales &amp; Assumptions'!$G$13:$L$13,0))*BC21</f>
        <v>125468.040216</v>
      </c>
      <c r="BE21" s="132" t="n">
        <f aca="false">+BD21*0.06</f>
        <v>7528.08241296</v>
      </c>
      <c r="BF21" s="132" t="n">
        <f aca="false">IF(BE21&lt;10000,10000-BE21,0)</f>
        <v>2471.91758704</v>
      </c>
      <c r="BG21" s="132" t="n">
        <f aca="false">BE21+BF21</f>
        <v>10000</v>
      </c>
      <c r="BI21" s="134" t="s">
        <v>231</v>
      </c>
      <c r="BJ21" s="130" t="n">
        <v>45596</v>
      </c>
      <c r="BK21" s="130" t="str">
        <f aca="false">"Year " &amp; TEXT(YEAR(BJ21) - 2023, "0")</f>
        <v>Year 1</v>
      </c>
      <c r="BL21" s="130" t="str">
        <f aca="false">_xlfn.IFS(BM21&lt;90%,"Low",AND(BM21&gt;=90%,BM21&lt;=110%),"Medium", BM21&gt;110%,"High")</f>
        <v>High</v>
      </c>
      <c r="BM21" s="131" t="n">
        <f aca="false">VLOOKUP(TEXT(BJ21,"mmmm"),Seasonality_Table_Mediterranean,2,0)</f>
        <v>1.2</v>
      </c>
      <c r="BN21" s="132" t="n">
        <f aca="false">INDEX(Baseline_Income_Projections,MATCH(BI$2,'Country Sales &amp; Assumptions'!$G$13:$G$20,0),MATCH(Sales_Saudi_Arabia[[#This Row],[Year]],'Country Sales &amp; Assumptions'!$G$13:$L$13,0))*BM21</f>
        <v>128987.99424</v>
      </c>
      <c r="BO21" s="132" t="n">
        <f aca="false">+BN21*0.06</f>
        <v>7739.2796544</v>
      </c>
      <c r="BP21" s="132" t="n">
        <f aca="false">IF(BO21&lt;10000,10000-BO21,0)</f>
        <v>2260.7203456</v>
      </c>
      <c r="BQ21" s="132" t="n">
        <f aca="false">BO21+BP21</f>
        <v>10000</v>
      </c>
    </row>
    <row r="22" customFormat="false" ht="11.25" hidden="false" customHeight="true" outlineLevel="0" collapsed="false">
      <c r="A22" s="134" t="s">
        <v>231</v>
      </c>
      <c r="B22" s="130" t="n">
        <v>45626</v>
      </c>
      <c r="C22" s="130" t="str">
        <f aca="false">"Year " &amp; TEXT(YEAR(B22) - 2023, "0")</f>
        <v>Year 1</v>
      </c>
      <c r="D22" s="130" t="str">
        <f aca="false">_xlfn.IFS(E22&lt;90%,"Low",AND(E22&gt;=90%,E22&lt;=110%),"Medium", E22&gt;110%,"High")</f>
        <v>High</v>
      </c>
      <c r="E22" s="131" t="n">
        <f aca="false">VLOOKUP(TEXT(B22,"mmmm"),Seasonality_Table_Gulf,2,0)</f>
        <v>1.2</v>
      </c>
      <c r="F22" s="132" t="n">
        <f aca="false">INDEX(Baseline_Income_Projections,MATCH("Saudi Arabia",'Country Sales &amp; Assumptions'!$G$13:$G$20,0),MATCH(Sales_Saudi_Arabia[[#This Row],[Year]],'Country Sales &amp; Assumptions'!$G$13:$L$13,0))*E22</f>
        <v>131085.36</v>
      </c>
      <c r="G22" s="132" t="n">
        <f aca="false">+F22*0.06</f>
        <v>7865.1216</v>
      </c>
      <c r="H22" s="132" t="n">
        <f aca="false">IF(G22&lt;10000,10000-G22,0)</f>
        <v>2134.8784</v>
      </c>
      <c r="I22" s="132" t="n">
        <f aca="false">G22+H22</f>
        <v>10000</v>
      </c>
      <c r="K22" s="129" t="s">
        <v>231</v>
      </c>
      <c r="L22" s="130" t="n">
        <v>45626</v>
      </c>
      <c r="M22" s="130" t="str">
        <f aca="false">"Year " &amp; TEXT(YEAR(L22) - 2023, "0")</f>
        <v>Year 1</v>
      </c>
      <c r="N22" s="130" t="str">
        <f aca="false">_xlfn.IFS(O22&lt;90%,"Low",AND(O22&gt;=90%,O22&lt;=110%),"Medium", O22&gt;110%,"High")</f>
        <v>High</v>
      </c>
      <c r="O22" s="131" t="n">
        <f aca="false">VLOOKUP(TEXT(L22,"mmmm"),Seasonality_Table_Gulf,2,0)</f>
        <v>1.2</v>
      </c>
      <c r="P22" s="132" t="n">
        <f aca="false">INDEX(Baseline_Income_Projections,MATCH(K$2,'Country Sales &amp; Assumptions'!$G$13:$G$20,0),MATCH(Sales_Saudi_Arabia[[#This Row],[Year]],'Country Sales &amp; Assumptions'!$G$13:$L$13,0))*O22</f>
        <v>165417.24</v>
      </c>
      <c r="Q22" s="132" t="n">
        <f aca="false">+P22*0.06</f>
        <v>9925.0344</v>
      </c>
      <c r="R22" s="132" t="n">
        <f aca="false">IF(Q22&lt;10000,10000-Q22,0)</f>
        <v>74.9655999999995</v>
      </c>
      <c r="S22" s="133" t="n">
        <f aca="false">Q22+R22</f>
        <v>10000</v>
      </c>
      <c r="U22" s="134" t="s">
        <v>231</v>
      </c>
      <c r="V22" s="130" t="n">
        <v>45626</v>
      </c>
      <c r="W22" s="130" t="str">
        <f aca="false">"Year " &amp; TEXT(YEAR(V22) - 2023, "0")</f>
        <v>Year 1</v>
      </c>
      <c r="X22" s="130" t="str">
        <f aca="false">_xlfn.IFS(Y22&lt;90%,"Low",AND(Y22&gt;=90%,Y22&lt;=110%),"Medium", Y22&gt;110%,"High")</f>
        <v>High</v>
      </c>
      <c r="Y22" s="131" t="n">
        <f aca="false">VLOOKUP(TEXT(V22,"mmmm"),Seasonality_Table_Gulf,2,0)</f>
        <v>1.2</v>
      </c>
      <c r="Z22" s="132" t="n">
        <f aca="false">INDEX(Baseline_Income_Projections,MATCH(U$2,'Country Sales &amp; Assumptions'!$G$13:$G$20,0),MATCH(Sales_Saudi_Arabia[[#This Row],[Year]],'Country Sales &amp; Assumptions'!$G$13:$L$13,0))*Y22</f>
        <v>176965.236</v>
      </c>
      <c r="AA22" s="132" t="n">
        <f aca="false">+Z22*0.06</f>
        <v>10617.91416</v>
      </c>
      <c r="AB22" s="132" t="n">
        <f aca="false">IF(AA22&lt;10000,10000-AA22,0)</f>
        <v>0</v>
      </c>
      <c r="AC22" s="132" t="n">
        <f aca="false">AA22+AB22</f>
        <v>10617.91416</v>
      </c>
      <c r="AE22" s="134" t="s">
        <v>231</v>
      </c>
      <c r="AF22" s="130" t="n">
        <v>45626</v>
      </c>
      <c r="AG22" s="130" t="str">
        <f aca="false">"Year " &amp; TEXT(YEAR(AF22) - 2023, "0")</f>
        <v>Year 1</v>
      </c>
      <c r="AH22" s="130" t="str">
        <f aca="false">_xlfn.IFS(AI22&lt;90%,"Low",AND(AI22&gt;=90%,AI22&lt;=110%),"Medium", AI22&gt;110%,"High")</f>
        <v>High</v>
      </c>
      <c r="AI22" s="131" t="n">
        <f aca="false">VLOOKUP(TEXT(AF22,"mmmm"),Seasonality_Table_Gulf,2,0)</f>
        <v>1.2</v>
      </c>
      <c r="AJ22" s="132" t="n">
        <f aca="false">INDEX(Baseline_Income_Projections,MATCH(AE$2,'Country Sales &amp; Assumptions'!$G$13:$G$20,0),MATCH(Sales_Saudi_Arabia[[#This Row],[Year]],'Country Sales &amp; Assumptions'!$G$13:$L$13,0))*AI22</f>
        <v>149000.3592</v>
      </c>
      <c r="AK22" s="132" t="n">
        <f aca="false">+AJ22*0.06</f>
        <v>8940.021552</v>
      </c>
      <c r="AL22" s="132" t="n">
        <f aca="false">IF(AK22&lt;10000,10000-AK22,0)</f>
        <v>1059.978448</v>
      </c>
      <c r="AM22" s="132" t="n">
        <f aca="false">AK22+AL22</f>
        <v>10000</v>
      </c>
      <c r="AO22" s="134" t="s">
        <v>231</v>
      </c>
      <c r="AP22" s="130" t="n">
        <v>45626</v>
      </c>
      <c r="AQ22" s="130" t="str">
        <f aca="false">"Year " &amp; TEXT(YEAR(AP22) - 2023, "0")</f>
        <v>Year 1</v>
      </c>
      <c r="AR22" s="130" t="str">
        <f aca="false">_xlfn.IFS(AS22&lt;90%,"Low",AND(AS22&gt;=90%,AS22&lt;=110%),"Medium", AS22&gt;110%,"High")</f>
        <v>Medium</v>
      </c>
      <c r="AS22" s="131" t="n">
        <f aca="false">VLOOKUP(TEXT(AP22,"mmmm"),Seasonality_Table_Mediterranean,2,0)</f>
        <v>1</v>
      </c>
      <c r="AT22" s="132" t="n">
        <f aca="false">INDEX(Baseline_Income_Projections,MATCH(AO$2,'Country Sales &amp; Assumptions'!$G$13:$G$20,0),MATCH(Sales_Saudi_Arabia[[#This Row],[Year]],'Country Sales &amp; Assumptions'!$G$13:$L$13,0))*AS22</f>
        <v>115628.2113</v>
      </c>
      <c r="AU22" s="132" t="n">
        <f aca="false">+AT22*0.06</f>
        <v>6937.692678</v>
      </c>
      <c r="AV22" s="132" t="n">
        <f aca="false">IF(AU22&lt;10000,10000-AU22,0)</f>
        <v>3062.307322</v>
      </c>
      <c r="AW22" s="132" t="n">
        <f aca="false">AU22+AV22</f>
        <v>10000</v>
      </c>
      <c r="AY22" s="134" t="s">
        <v>231</v>
      </c>
      <c r="AZ22" s="130" t="n">
        <v>45626</v>
      </c>
      <c r="BA22" s="130" t="str">
        <f aca="false">"Year " &amp; TEXT(YEAR(AZ22) - 2023, "0")</f>
        <v>Year 1</v>
      </c>
      <c r="BB22" s="130" t="str">
        <f aca="false">_xlfn.IFS(BC22&lt;90%,"Low",AND(BC22&gt;=90%,BC22&lt;=110%),"Medium", BC22&gt;110%,"High")</f>
        <v>Medium</v>
      </c>
      <c r="BC22" s="131" t="n">
        <f aca="false">VLOOKUP(TEXT(AZ22,"mmmm"),Seasonality_Table_Mediterranean,2,0)</f>
        <v>1</v>
      </c>
      <c r="BD22" s="132" t="n">
        <f aca="false">INDEX(Baseline_Income_Projections,MATCH(AY$2,'Country Sales &amp; Assumptions'!$G$13:$G$20,0),MATCH(Sales_Saudi_Arabia[[#This Row],[Year]],'Country Sales &amp; Assumptions'!$G$13:$L$13,0))*BC22</f>
        <v>104556.70018</v>
      </c>
      <c r="BE22" s="132" t="n">
        <f aca="false">+BD22*0.06</f>
        <v>6273.4020108</v>
      </c>
      <c r="BF22" s="132" t="n">
        <f aca="false">IF(BE22&lt;10000,10000-BE22,0)</f>
        <v>3726.5979892</v>
      </c>
      <c r="BG22" s="132" t="n">
        <f aca="false">BE22+BF22</f>
        <v>10000</v>
      </c>
      <c r="BI22" s="134" t="s">
        <v>231</v>
      </c>
      <c r="BJ22" s="130" t="n">
        <v>45626</v>
      </c>
      <c r="BK22" s="130" t="str">
        <f aca="false">"Year " &amp; TEXT(YEAR(BJ22) - 2023, "0")</f>
        <v>Year 1</v>
      </c>
      <c r="BL22" s="130" t="str">
        <f aca="false">_xlfn.IFS(BM22&lt;90%,"Low",AND(BM22&gt;=90%,BM22&lt;=110%),"Medium", BM22&gt;110%,"High")</f>
        <v>Medium</v>
      </c>
      <c r="BM22" s="131" t="n">
        <f aca="false">VLOOKUP(TEXT(BJ22,"mmmm"),Seasonality_Table_Mediterranean,2,0)</f>
        <v>1</v>
      </c>
      <c r="BN22" s="132" t="n">
        <f aca="false">INDEX(Baseline_Income_Projections,MATCH(BI$2,'Country Sales &amp; Assumptions'!$G$13:$G$20,0),MATCH(Sales_Saudi_Arabia[[#This Row],[Year]],'Country Sales &amp; Assumptions'!$G$13:$L$13,0))*BM22</f>
        <v>107489.9952</v>
      </c>
      <c r="BO22" s="132" t="n">
        <f aca="false">+BN22*0.06</f>
        <v>6449.399712</v>
      </c>
      <c r="BP22" s="132" t="n">
        <f aca="false">IF(BO22&lt;10000,10000-BO22,0)</f>
        <v>3550.600288</v>
      </c>
      <c r="BQ22" s="132" t="n">
        <f aca="false">BO22+BP22</f>
        <v>10000</v>
      </c>
    </row>
    <row r="23" customFormat="false" ht="11.25" hidden="false" customHeight="true" outlineLevel="0" collapsed="false">
      <c r="A23" s="134" t="s">
        <v>231</v>
      </c>
      <c r="B23" s="130" t="n">
        <v>45657</v>
      </c>
      <c r="C23" s="130" t="str">
        <f aca="false">"Year " &amp; TEXT(YEAR(B23) - 2023, "0")</f>
        <v>Year 1</v>
      </c>
      <c r="D23" s="130" t="str">
        <f aca="false">_xlfn.IFS(E23&lt;90%,"Low",AND(E23&gt;=90%,E23&lt;=110%),"Medium", E23&gt;110%,"High")</f>
        <v>High</v>
      </c>
      <c r="E23" s="131" t="n">
        <f aca="false">VLOOKUP(TEXT(B23,"mmmm"),Seasonality_Table_Gulf,2,0)</f>
        <v>1.3</v>
      </c>
      <c r="F23" s="132" t="n">
        <f aca="false">INDEX(Baseline_Income_Projections,MATCH("Saudi Arabia",'Country Sales &amp; Assumptions'!$G$13:$G$20,0),MATCH(Sales_Saudi_Arabia[[#This Row],[Year]],'Country Sales &amp; Assumptions'!$G$13:$L$13,0))*E23</f>
        <v>142009.14</v>
      </c>
      <c r="G23" s="132" t="n">
        <f aca="false">+F23*0.06</f>
        <v>8520.5484</v>
      </c>
      <c r="H23" s="132" t="n">
        <f aca="false">IF(G23&lt;10000,10000-G23,0)</f>
        <v>1479.4516</v>
      </c>
      <c r="I23" s="132" t="n">
        <f aca="false">G23+H23</f>
        <v>10000</v>
      </c>
      <c r="K23" s="129" t="s">
        <v>231</v>
      </c>
      <c r="L23" s="130" t="n">
        <v>45657</v>
      </c>
      <c r="M23" s="130" t="str">
        <f aca="false">"Year " &amp; TEXT(YEAR(L23) - 2023, "0")</f>
        <v>Year 1</v>
      </c>
      <c r="N23" s="130" t="str">
        <f aca="false">_xlfn.IFS(O23&lt;90%,"Low",AND(O23&gt;=90%,O23&lt;=110%),"Medium", O23&gt;110%,"High")</f>
        <v>High</v>
      </c>
      <c r="O23" s="131" t="n">
        <f aca="false">VLOOKUP(TEXT(L23,"mmmm"),Seasonality_Table_Gulf,2,0)</f>
        <v>1.3</v>
      </c>
      <c r="P23" s="132" t="n">
        <f aca="false">INDEX(Baseline_Income_Projections,MATCH(K$2,'Country Sales &amp; Assumptions'!$G$13:$G$20,0),MATCH(Sales_Saudi_Arabia[[#This Row],[Year]],'Country Sales &amp; Assumptions'!$G$13:$L$13,0))*O23</f>
        <v>179202.01</v>
      </c>
      <c r="Q23" s="132" t="n">
        <f aca="false">+P23*0.06</f>
        <v>10752.1206</v>
      </c>
      <c r="R23" s="132" t="n">
        <f aca="false">IF(Q23&lt;10000,10000-Q23,0)</f>
        <v>0</v>
      </c>
      <c r="S23" s="133" t="n">
        <f aca="false">Q23+R23</f>
        <v>10752.1206</v>
      </c>
      <c r="U23" s="134" t="s">
        <v>231</v>
      </c>
      <c r="V23" s="130" t="n">
        <v>45657</v>
      </c>
      <c r="W23" s="130" t="str">
        <f aca="false">"Year " &amp; TEXT(YEAR(V23) - 2023, "0")</f>
        <v>Year 1</v>
      </c>
      <c r="X23" s="130" t="str">
        <f aca="false">_xlfn.IFS(Y23&lt;90%,"Low",AND(Y23&gt;=90%,Y23&lt;=110%),"Medium", Y23&gt;110%,"High")</f>
        <v>High</v>
      </c>
      <c r="Y23" s="131" t="n">
        <f aca="false">VLOOKUP(TEXT(V23,"mmmm"),Seasonality_Table_Gulf,2,0)</f>
        <v>1.3</v>
      </c>
      <c r="Z23" s="132" t="n">
        <f aca="false">INDEX(Baseline_Income_Projections,MATCH(U$2,'Country Sales &amp; Assumptions'!$G$13:$G$20,0),MATCH(Sales_Saudi_Arabia[[#This Row],[Year]],'Country Sales &amp; Assumptions'!$G$13:$L$13,0))*Y23</f>
        <v>191712.339</v>
      </c>
      <c r="AA23" s="132" t="n">
        <f aca="false">+Z23*0.06</f>
        <v>11502.74034</v>
      </c>
      <c r="AB23" s="132" t="n">
        <f aca="false">IF(AA23&lt;10000,10000-AA23,0)</f>
        <v>0</v>
      </c>
      <c r="AC23" s="132" t="n">
        <f aca="false">AA23+AB23</f>
        <v>11502.74034</v>
      </c>
      <c r="AE23" s="134" t="s">
        <v>231</v>
      </c>
      <c r="AF23" s="130" t="n">
        <v>45657</v>
      </c>
      <c r="AG23" s="130" t="str">
        <f aca="false">"Year " &amp; TEXT(YEAR(AF23) - 2023, "0")</f>
        <v>Year 1</v>
      </c>
      <c r="AH23" s="130" t="str">
        <f aca="false">_xlfn.IFS(AI23&lt;90%,"Low",AND(AI23&gt;=90%,AI23&lt;=110%),"Medium", AI23&gt;110%,"High")</f>
        <v>High</v>
      </c>
      <c r="AI23" s="131" t="n">
        <f aca="false">VLOOKUP(TEXT(AF23,"mmmm"),Seasonality_Table_Gulf,2,0)</f>
        <v>1.3</v>
      </c>
      <c r="AJ23" s="132" t="n">
        <f aca="false">INDEX(Baseline_Income_Projections,MATCH(AE$2,'Country Sales &amp; Assumptions'!$G$13:$G$20,0),MATCH(Sales_Saudi_Arabia[[#This Row],[Year]],'Country Sales &amp; Assumptions'!$G$13:$L$13,0))*AI23</f>
        <v>161417.0558</v>
      </c>
      <c r="AK23" s="132" t="n">
        <f aca="false">+AJ23*0.06</f>
        <v>9685.023348</v>
      </c>
      <c r="AL23" s="132" t="n">
        <f aca="false">IF(AK23&lt;10000,10000-AK23,0)</f>
        <v>314.976651999999</v>
      </c>
      <c r="AM23" s="132" t="n">
        <f aca="false">AK23+AL23</f>
        <v>10000</v>
      </c>
      <c r="AO23" s="134" t="s">
        <v>231</v>
      </c>
      <c r="AP23" s="130" t="n">
        <v>45657</v>
      </c>
      <c r="AQ23" s="130" t="str">
        <f aca="false">"Year " &amp; TEXT(YEAR(AP23) - 2023, "0")</f>
        <v>Year 1</v>
      </c>
      <c r="AR23" s="130" t="str">
        <f aca="false">_xlfn.IFS(AS23&lt;90%,"Low",AND(AS23&gt;=90%,AS23&lt;=110%),"Medium", AS23&gt;110%,"High")</f>
        <v>High</v>
      </c>
      <c r="AS23" s="131" t="n">
        <f aca="false">VLOOKUP(TEXT(AP23,"mmmm"),Seasonality_Table_Mediterranean,2,0)</f>
        <v>1.2</v>
      </c>
      <c r="AT23" s="132" t="n">
        <f aca="false">INDEX(Baseline_Income_Projections,MATCH(AO$2,'Country Sales &amp; Assumptions'!$G$13:$G$20,0),MATCH(Sales_Saudi_Arabia[[#This Row],[Year]],'Country Sales &amp; Assumptions'!$G$13:$L$13,0))*AS23</f>
        <v>138753.85356</v>
      </c>
      <c r="AU23" s="132" t="n">
        <f aca="false">+AT23*0.06</f>
        <v>8325.2312136</v>
      </c>
      <c r="AV23" s="132" t="n">
        <f aca="false">IF(AU23&lt;10000,10000-AU23,0)</f>
        <v>1674.7687864</v>
      </c>
      <c r="AW23" s="132" t="n">
        <f aca="false">AU23+AV23</f>
        <v>10000</v>
      </c>
      <c r="AY23" s="134" t="s">
        <v>231</v>
      </c>
      <c r="AZ23" s="130" t="n">
        <v>45657</v>
      </c>
      <c r="BA23" s="130" t="str">
        <f aca="false">"Year " &amp; TEXT(YEAR(AZ23) - 2023, "0")</f>
        <v>Year 1</v>
      </c>
      <c r="BB23" s="130" t="str">
        <f aca="false">_xlfn.IFS(BC23&lt;90%,"Low",AND(BC23&gt;=90%,BC23&lt;=110%),"Medium", BC23&gt;110%,"High")</f>
        <v>High</v>
      </c>
      <c r="BC23" s="131" t="n">
        <f aca="false">VLOOKUP(TEXT(AZ23,"mmmm"),Seasonality_Table_Mediterranean,2,0)</f>
        <v>1.2</v>
      </c>
      <c r="BD23" s="132" t="n">
        <f aca="false">INDEX(Baseline_Income_Projections,MATCH(AY$2,'Country Sales &amp; Assumptions'!$G$13:$G$20,0),MATCH(Sales_Saudi_Arabia[[#This Row],[Year]],'Country Sales &amp; Assumptions'!$G$13:$L$13,0))*BC23</f>
        <v>125468.040216</v>
      </c>
      <c r="BE23" s="132" t="n">
        <f aca="false">+BD23*0.06</f>
        <v>7528.08241296</v>
      </c>
      <c r="BF23" s="132" t="n">
        <f aca="false">IF(BE23&lt;10000,10000-BE23,0)</f>
        <v>2471.91758704</v>
      </c>
      <c r="BG23" s="132" t="n">
        <f aca="false">BE23+BF23</f>
        <v>10000</v>
      </c>
      <c r="BI23" s="134" t="s">
        <v>231</v>
      </c>
      <c r="BJ23" s="130" t="n">
        <v>45657</v>
      </c>
      <c r="BK23" s="130" t="str">
        <f aca="false">"Year " &amp; TEXT(YEAR(BJ23) - 2023, "0")</f>
        <v>Year 1</v>
      </c>
      <c r="BL23" s="130" t="str">
        <f aca="false">_xlfn.IFS(BM23&lt;90%,"Low",AND(BM23&gt;=90%,BM23&lt;=110%),"Medium", BM23&gt;110%,"High")</f>
        <v>High</v>
      </c>
      <c r="BM23" s="131" t="n">
        <f aca="false">VLOOKUP(TEXT(BJ23,"mmmm"),Seasonality_Table_Mediterranean,2,0)</f>
        <v>1.2</v>
      </c>
      <c r="BN23" s="132" t="n">
        <f aca="false">INDEX(Baseline_Income_Projections,MATCH(BI$2,'Country Sales &amp; Assumptions'!$G$13:$G$20,0),MATCH(Sales_Saudi_Arabia[[#This Row],[Year]],'Country Sales &amp; Assumptions'!$G$13:$L$13,0))*BM23</f>
        <v>128987.99424</v>
      </c>
      <c r="BO23" s="132" t="n">
        <f aca="false">+BN23*0.06</f>
        <v>7739.2796544</v>
      </c>
      <c r="BP23" s="132" t="n">
        <f aca="false">IF(BO23&lt;10000,10000-BO23,0)</f>
        <v>2260.7203456</v>
      </c>
      <c r="BQ23" s="132" t="n">
        <f aca="false">BO23+BP23</f>
        <v>10000</v>
      </c>
    </row>
    <row r="24" customFormat="false" ht="11.25" hidden="false" customHeight="true" outlineLevel="0" collapsed="false">
      <c r="A24" s="134" t="s">
        <v>231</v>
      </c>
      <c r="B24" s="130" t="n">
        <v>45688</v>
      </c>
      <c r="C24" s="130" t="str">
        <f aca="false">"Year " &amp; TEXT(YEAR(B24) - 2023, "0")</f>
        <v>Year 2</v>
      </c>
      <c r="D24" s="130" t="str">
        <f aca="false">_xlfn.IFS(E24&lt;90%,"Low",AND(E24&gt;=90%,E24&lt;=110%),"Medium", E24&gt;110%,"High")</f>
        <v>High</v>
      </c>
      <c r="E24" s="131" t="n">
        <f aca="false">VLOOKUP(TEXT(B24,"mmmm"),Seasonality_Table_Gulf,2,0)</f>
        <v>1.2</v>
      </c>
      <c r="F24" s="132" t="n">
        <f aca="false">INDEX(Baseline_Income_Projections,MATCH("Saudi Arabia",'Country Sales &amp; Assumptions'!$G$13:$G$20,0),MATCH(Sales_Saudi_Arabia[[#This Row],[Year]],'Country Sales &amp; Assumptions'!$G$13:$L$13,0))*E24</f>
        <v>137639.628</v>
      </c>
      <c r="G24" s="132" t="n">
        <f aca="false">+F24*0.06</f>
        <v>8258.37768</v>
      </c>
      <c r="H24" s="132" t="n">
        <f aca="false">IF(G24&lt;10000,10000-G24,0)</f>
        <v>1741.62232</v>
      </c>
      <c r="I24" s="132" t="n">
        <f aca="false">G24+H24</f>
        <v>10000</v>
      </c>
      <c r="K24" s="129" t="s">
        <v>231</v>
      </c>
      <c r="L24" s="130" t="n">
        <v>45688</v>
      </c>
      <c r="M24" s="130" t="str">
        <f aca="false">"Year " &amp; TEXT(YEAR(L24) - 2023, "0")</f>
        <v>Year 2</v>
      </c>
      <c r="N24" s="130" t="str">
        <f aca="false">_xlfn.IFS(O24&lt;90%,"Low",AND(O24&gt;=90%,O24&lt;=110%),"Medium", O24&gt;110%,"High")</f>
        <v>High</v>
      </c>
      <c r="O24" s="131" t="n">
        <f aca="false">VLOOKUP(TEXT(L24,"mmmm"),Seasonality_Table_Gulf,2,0)</f>
        <v>1.2</v>
      </c>
      <c r="P24" s="132" t="n">
        <f aca="false">INDEX(Baseline_Income_Projections,MATCH(K$2,'Country Sales &amp; Assumptions'!$G$13:$G$20,0),MATCH(Sales_Saudi_Arabia[[#This Row],[Year]],'Country Sales &amp; Assumptions'!$G$13:$L$13,0))*O24</f>
        <v>175342.2744</v>
      </c>
      <c r="Q24" s="132" t="n">
        <f aca="false">+P24*0.06</f>
        <v>10520.536464</v>
      </c>
      <c r="R24" s="132" t="n">
        <f aca="false">IF(Q24&lt;10000,10000-Q24,0)</f>
        <v>0</v>
      </c>
      <c r="S24" s="133" t="n">
        <f aca="false">Q24+R24</f>
        <v>10520.536464</v>
      </c>
      <c r="U24" s="134" t="s">
        <v>231</v>
      </c>
      <c r="V24" s="130" t="n">
        <v>45688</v>
      </c>
      <c r="W24" s="130" t="str">
        <f aca="false">"Year " &amp; TEXT(YEAR(V24) - 2023, "0")</f>
        <v>Year 2</v>
      </c>
      <c r="X24" s="130" t="str">
        <f aca="false">_xlfn.IFS(Y24&lt;90%,"Low",AND(Y24&gt;=90%,Y24&lt;=110%),"Medium", Y24&gt;110%,"High")</f>
        <v>High</v>
      </c>
      <c r="Y24" s="131" t="n">
        <f aca="false">VLOOKUP(TEXT(V24,"mmmm"),Seasonality_Table_Gulf,2,0)</f>
        <v>1.2</v>
      </c>
      <c r="Z24" s="132" t="n">
        <f aca="false">INDEX(Baseline_Income_Projections,MATCH(U$2,'Country Sales &amp; Assumptions'!$G$13:$G$20,0),MATCH(Sales_Saudi_Arabia[[#This Row],[Year]],'Country Sales &amp; Assumptions'!$G$13:$L$13,0))*Y24</f>
        <v>185813.4978</v>
      </c>
      <c r="AA24" s="132" t="n">
        <f aca="false">+Z24*0.06</f>
        <v>11148.809868</v>
      </c>
      <c r="AB24" s="132" t="n">
        <f aca="false">IF(AA24&lt;10000,10000-AA24,0)</f>
        <v>0</v>
      </c>
      <c r="AC24" s="132" t="n">
        <f aca="false">AA24+AB24</f>
        <v>11148.809868</v>
      </c>
      <c r="AE24" s="134" t="s">
        <v>231</v>
      </c>
      <c r="AF24" s="130" t="n">
        <v>45688</v>
      </c>
      <c r="AG24" s="130" t="str">
        <f aca="false">"Year " &amp; TEXT(YEAR(AF24) - 2023, "0")</f>
        <v>Year 2</v>
      </c>
      <c r="AH24" s="130" t="str">
        <f aca="false">_xlfn.IFS(AI24&lt;90%,"Low",AND(AI24&gt;=90%,AI24&lt;=110%),"Medium", AI24&gt;110%,"High")</f>
        <v>High</v>
      </c>
      <c r="AI24" s="131" t="n">
        <f aca="false">VLOOKUP(TEXT(AF24,"mmmm"),Seasonality_Table_Gulf,2,0)</f>
        <v>1.2</v>
      </c>
      <c r="AJ24" s="132" t="n">
        <f aca="false">INDEX(Baseline_Income_Projections,MATCH(AE$2,'Country Sales &amp; Assumptions'!$G$13:$G$20,0),MATCH(Sales_Saudi_Arabia[[#This Row],[Year]],'Country Sales &amp; Assumptions'!$G$13:$L$13,0))*AI24</f>
        <v>161665.389732</v>
      </c>
      <c r="AK24" s="132" t="n">
        <f aca="false">+AJ24*0.06</f>
        <v>9699.92338392</v>
      </c>
      <c r="AL24" s="132" t="n">
        <f aca="false">IF(AK24&lt;10000,10000-AK24,0)</f>
        <v>300.076616080001</v>
      </c>
      <c r="AM24" s="132" t="n">
        <f aca="false">AK24+AL24</f>
        <v>10000</v>
      </c>
      <c r="AO24" s="134" t="s">
        <v>231</v>
      </c>
      <c r="AP24" s="130" t="n">
        <v>45688</v>
      </c>
      <c r="AQ24" s="130" t="str">
        <f aca="false">"Year " &amp; TEXT(YEAR(AP24) - 2023, "0")</f>
        <v>Year 2</v>
      </c>
      <c r="AR24" s="130" t="str">
        <f aca="false">_xlfn.IFS(AS24&lt;90%,"Low",AND(AS24&gt;=90%,AS24&lt;=110%),"Medium", AS24&gt;110%,"High")</f>
        <v>Medium</v>
      </c>
      <c r="AS24" s="131" t="n">
        <f aca="false">VLOOKUP(TEXT(AP24,"mmmm"),Seasonality_Table_Mediterranean,2,0)</f>
        <v>1.1</v>
      </c>
      <c r="AT24" s="132" t="n">
        <f aca="false">INDEX(Baseline_Income_Projections,MATCH(AO$2,'Country Sales &amp; Assumptions'!$G$13:$G$20,0),MATCH(Sales_Saudi_Arabia[[#This Row],[Year]],'Country Sales &amp; Assumptions'!$G$13:$L$13,0))*AS24</f>
        <v>134631.707827155</v>
      </c>
      <c r="AU24" s="132" t="n">
        <f aca="false">+AT24*0.06</f>
        <v>8077.9024696293</v>
      </c>
      <c r="AV24" s="132" t="n">
        <f aca="false">IF(AU24&lt;10000,10000-AU24,0)</f>
        <v>1922.0975303707</v>
      </c>
      <c r="AW24" s="132" t="n">
        <f aca="false">AU24+AV24</f>
        <v>10000</v>
      </c>
      <c r="AY24" s="134" t="s">
        <v>231</v>
      </c>
      <c r="AZ24" s="130" t="n">
        <v>45688</v>
      </c>
      <c r="BA24" s="130" t="str">
        <f aca="false">"Year " &amp; TEXT(YEAR(AZ24) - 2023, "0")</f>
        <v>Year 2</v>
      </c>
      <c r="BB24" s="130" t="str">
        <f aca="false">_xlfn.IFS(BC24&lt;90%,"Low",AND(BC24&gt;=90%,BC24&lt;=110%),"Medium", BC24&gt;110%,"High")</f>
        <v>Medium</v>
      </c>
      <c r="BC24" s="131" t="n">
        <f aca="false">VLOOKUP(TEXT(AZ24,"mmmm"),Seasonality_Table_Mediterranean,2,0)</f>
        <v>1.1</v>
      </c>
      <c r="BD24" s="132" t="n">
        <f aca="false">INDEX(Baseline_Income_Projections,MATCH(AY$2,'Country Sales &amp; Assumptions'!$G$13:$G$20,0),MATCH(Sales_Saudi_Arabia[[#This Row],[Year]],'Country Sales &amp; Assumptions'!$G$13:$L$13,0))*BC24</f>
        <v>121671.586432464</v>
      </c>
      <c r="BE24" s="132" t="n">
        <f aca="false">+BD24*0.06</f>
        <v>7300.29518594785</v>
      </c>
      <c r="BF24" s="132" t="n">
        <f aca="false">IF(BE24&lt;10000,10000-BE24,0)</f>
        <v>2699.70481405215</v>
      </c>
      <c r="BG24" s="132" t="n">
        <f aca="false">BE24+BF24</f>
        <v>10000</v>
      </c>
      <c r="BI24" s="134" t="s">
        <v>231</v>
      </c>
      <c r="BJ24" s="130" t="n">
        <v>45688</v>
      </c>
      <c r="BK24" s="130" t="str">
        <f aca="false">"Year " &amp; TEXT(YEAR(BJ24) - 2023, "0")</f>
        <v>Year 2</v>
      </c>
      <c r="BL24" s="130" t="str">
        <f aca="false">_xlfn.IFS(BM24&lt;90%,"Low",AND(BM24&gt;=90%,BM24&lt;=110%),"Medium", BM24&gt;110%,"High")</f>
        <v>Medium</v>
      </c>
      <c r="BM24" s="131" t="n">
        <f aca="false">VLOOKUP(TEXT(BJ24,"mmmm"),Seasonality_Table_Mediterranean,2,0)</f>
        <v>1.1</v>
      </c>
      <c r="BN24" s="132" t="n">
        <f aca="false">INDEX(Baseline_Income_Projections,MATCH(BI$2,'Country Sales &amp; Assumptions'!$G$13:$G$20,0),MATCH(Sales_Saudi_Arabia[[#This Row],[Year]],'Country Sales &amp; Assumptions'!$G$13:$L$13,0))*BM24</f>
        <v>135738.36593856</v>
      </c>
      <c r="BO24" s="132" t="n">
        <f aca="false">+BN24*0.06</f>
        <v>8144.3019563136</v>
      </c>
      <c r="BP24" s="132" t="n">
        <f aca="false">IF(BO24&lt;10000,10000-BO24,0)</f>
        <v>1855.6980436864</v>
      </c>
      <c r="BQ24" s="132" t="n">
        <f aca="false">BO24+BP24</f>
        <v>10000</v>
      </c>
    </row>
    <row r="25" customFormat="false" ht="11.25" hidden="false" customHeight="true" outlineLevel="0" collapsed="false">
      <c r="A25" s="134" t="s">
        <v>231</v>
      </c>
      <c r="B25" s="130" t="n">
        <v>45716</v>
      </c>
      <c r="C25" s="130" t="str">
        <f aca="false">"Year " &amp; TEXT(YEAR(B25) - 2023, "0")</f>
        <v>Year 2</v>
      </c>
      <c r="D25" s="130" t="str">
        <f aca="false">_xlfn.IFS(E25&lt;90%,"Low",AND(E25&gt;=90%,E25&lt;=110%),"Medium", E25&gt;110%,"High")</f>
        <v>Medium</v>
      </c>
      <c r="E25" s="131" t="n">
        <f aca="false">VLOOKUP(TEXT(B25,"mmmm"),Seasonality_Table_Gulf,2,0)</f>
        <v>1.1</v>
      </c>
      <c r="F25" s="132" t="n">
        <f aca="false">INDEX(Baseline_Income_Projections,MATCH("Saudi Arabia",'Country Sales &amp; Assumptions'!$G$13:$G$20,0),MATCH(Sales_Saudi_Arabia[[#This Row],[Year]],'Country Sales &amp; Assumptions'!$G$13:$L$13,0))*E25</f>
        <v>126169.659</v>
      </c>
      <c r="G25" s="132" t="n">
        <f aca="false">+F25*0.06</f>
        <v>7570.17954</v>
      </c>
      <c r="H25" s="132" t="n">
        <f aca="false">IF(G25&lt;10000,10000-G25,0)</f>
        <v>2429.82046</v>
      </c>
      <c r="I25" s="132" t="n">
        <f aca="false">G25+H25</f>
        <v>10000</v>
      </c>
      <c r="K25" s="129" t="s">
        <v>231</v>
      </c>
      <c r="L25" s="130" t="n">
        <v>45716</v>
      </c>
      <c r="M25" s="130" t="str">
        <f aca="false">"Year " &amp; TEXT(YEAR(L25) - 2023, "0")</f>
        <v>Year 2</v>
      </c>
      <c r="N25" s="130" t="str">
        <f aca="false">_xlfn.IFS(O25&lt;90%,"Low",AND(O25&gt;=90%,O25&lt;=110%),"Medium", O25&gt;110%,"High")</f>
        <v>Medium</v>
      </c>
      <c r="O25" s="131" t="n">
        <f aca="false">VLOOKUP(TEXT(L25,"mmmm"),Seasonality_Table_Gulf,2,0)</f>
        <v>1.1</v>
      </c>
      <c r="P25" s="132" t="n">
        <f aca="false">INDEX(Baseline_Income_Projections,MATCH(K$2,'Country Sales &amp; Assumptions'!$G$13:$G$20,0),MATCH(Sales_Saudi_Arabia[[#This Row],[Year]],'Country Sales &amp; Assumptions'!$G$13:$L$13,0))*O25</f>
        <v>160730.4182</v>
      </c>
      <c r="Q25" s="132" t="n">
        <f aca="false">+P25*0.06</f>
        <v>9643.825092</v>
      </c>
      <c r="R25" s="132" t="n">
        <f aca="false">IF(Q25&lt;10000,10000-Q25,0)</f>
        <v>356.174907999999</v>
      </c>
      <c r="S25" s="133" t="n">
        <f aca="false">Q25+R25</f>
        <v>10000</v>
      </c>
      <c r="U25" s="134" t="s">
        <v>231</v>
      </c>
      <c r="V25" s="130" t="n">
        <v>45716</v>
      </c>
      <c r="W25" s="130" t="str">
        <f aca="false">"Year " &amp; TEXT(YEAR(V25) - 2023, "0")</f>
        <v>Year 2</v>
      </c>
      <c r="X25" s="130" t="str">
        <f aca="false">_xlfn.IFS(Y25&lt;90%,"Low",AND(Y25&gt;=90%,Y25&lt;=110%),"Medium", Y25&gt;110%,"High")</f>
        <v>Medium</v>
      </c>
      <c r="Y25" s="131" t="n">
        <f aca="false">VLOOKUP(TEXT(V25,"mmmm"),Seasonality_Table_Gulf,2,0)</f>
        <v>1.1</v>
      </c>
      <c r="Z25" s="132" t="n">
        <f aca="false">INDEX(Baseline_Income_Projections,MATCH(U$2,'Country Sales &amp; Assumptions'!$G$13:$G$20,0),MATCH(Sales_Saudi_Arabia[[#This Row],[Year]],'Country Sales &amp; Assumptions'!$G$13:$L$13,0))*Y25</f>
        <v>170329.03965</v>
      </c>
      <c r="AA25" s="132" t="n">
        <f aca="false">+Z25*0.06</f>
        <v>10219.742379</v>
      </c>
      <c r="AB25" s="132" t="n">
        <f aca="false">IF(AA25&lt;10000,10000-AA25,0)</f>
        <v>0</v>
      </c>
      <c r="AC25" s="132" t="n">
        <f aca="false">AA25+AB25</f>
        <v>10219.742379</v>
      </c>
      <c r="AE25" s="134" t="s">
        <v>231</v>
      </c>
      <c r="AF25" s="130" t="n">
        <v>45716</v>
      </c>
      <c r="AG25" s="130" t="str">
        <f aca="false">"Year " &amp; TEXT(YEAR(AF25) - 2023, "0")</f>
        <v>Year 2</v>
      </c>
      <c r="AH25" s="130" t="str">
        <f aca="false">_xlfn.IFS(AI25&lt;90%,"Low",AND(AI25&gt;=90%,AI25&lt;=110%),"Medium", AI25&gt;110%,"High")</f>
        <v>Medium</v>
      </c>
      <c r="AI25" s="131" t="n">
        <f aca="false">VLOOKUP(TEXT(AF25,"mmmm"),Seasonality_Table_Gulf,2,0)</f>
        <v>1.1</v>
      </c>
      <c r="AJ25" s="132" t="n">
        <f aca="false">INDEX(Baseline_Income_Projections,MATCH(AE$2,'Country Sales &amp; Assumptions'!$G$13:$G$20,0),MATCH(Sales_Saudi_Arabia[[#This Row],[Year]],'Country Sales &amp; Assumptions'!$G$13:$L$13,0))*AI25</f>
        <v>148193.273921</v>
      </c>
      <c r="AK25" s="132" t="n">
        <f aca="false">+AJ25*0.06</f>
        <v>8891.59643526</v>
      </c>
      <c r="AL25" s="132" t="n">
        <f aca="false">IF(AK25&lt;10000,10000-AK25,0)</f>
        <v>1108.40356474</v>
      </c>
      <c r="AM25" s="132" t="n">
        <f aca="false">AK25+AL25</f>
        <v>10000</v>
      </c>
      <c r="AO25" s="134" t="s">
        <v>231</v>
      </c>
      <c r="AP25" s="130" t="n">
        <v>45716</v>
      </c>
      <c r="AQ25" s="130" t="str">
        <f aca="false">"Year " &amp; TEXT(YEAR(AP25) - 2023, "0")</f>
        <v>Year 2</v>
      </c>
      <c r="AR25" s="130" t="str">
        <f aca="false">_xlfn.IFS(AS25&lt;90%,"Low",AND(AS25&gt;=90%,AS25&lt;=110%),"Medium", AS25&gt;110%,"High")</f>
        <v>Medium</v>
      </c>
      <c r="AS25" s="131" t="n">
        <f aca="false">VLOOKUP(TEXT(AP25,"mmmm"),Seasonality_Table_Mediterranean,2,0)</f>
        <v>1</v>
      </c>
      <c r="AT25" s="132" t="n">
        <f aca="false">INDEX(Baseline_Income_Projections,MATCH(AO$2,'Country Sales &amp; Assumptions'!$G$13:$G$20,0),MATCH(Sales_Saudi_Arabia[[#This Row],[Year]],'Country Sales &amp; Assumptions'!$G$13:$L$13,0))*AS25</f>
        <v>122392.46166105</v>
      </c>
      <c r="AU25" s="132" t="n">
        <f aca="false">+AT25*0.06</f>
        <v>7343.547699663</v>
      </c>
      <c r="AV25" s="132" t="n">
        <f aca="false">IF(AU25&lt;10000,10000-AU25,0)</f>
        <v>2656.452300337</v>
      </c>
      <c r="AW25" s="132" t="n">
        <f aca="false">AU25+AV25</f>
        <v>10000</v>
      </c>
      <c r="AY25" s="134" t="s">
        <v>231</v>
      </c>
      <c r="AZ25" s="130" t="n">
        <v>45716</v>
      </c>
      <c r="BA25" s="130" t="str">
        <f aca="false">"Year " &amp; TEXT(YEAR(AZ25) - 2023, "0")</f>
        <v>Year 2</v>
      </c>
      <c r="BB25" s="130" t="str">
        <f aca="false">_xlfn.IFS(BC25&lt;90%,"Low",AND(BC25&gt;=90%,BC25&lt;=110%),"Medium", BC25&gt;110%,"High")</f>
        <v>Medium</v>
      </c>
      <c r="BC25" s="131" t="n">
        <f aca="false">VLOOKUP(TEXT(AZ25,"mmmm"),Seasonality_Table_Mediterranean,2,0)</f>
        <v>1</v>
      </c>
      <c r="BD25" s="132" t="n">
        <f aca="false">INDEX(Baseline_Income_Projections,MATCH(AY$2,'Country Sales &amp; Assumptions'!$G$13:$G$20,0),MATCH(Sales_Saudi_Arabia[[#This Row],[Year]],'Country Sales &amp; Assumptions'!$G$13:$L$13,0))*BC25</f>
        <v>110610.533120422</v>
      </c>
      <c r="BE25" s="132" t="n">
        <f aca="false">+BD25*0.06</f>
        <v>6636.63198722532</v>
      </c>
      <c r="BF25" s="132" t="n">
        <f aca="false">IF(BE25&lt;10000,10000-BE25,0)</f>
        <v>3363.36801277468</v>
      </c>
      <c r="BG25" s="132" t="n">
        <f aca="false">BE25+BF25</f>
        <v>10000</v>
      </c>
      <c r="BI25" s="134" t="s">
        <v>231</v>
      </c>
      <c r="BJ25" s="130" t="n">
        <v>45716</v>
      </c>
      <c r="BK25" s="130" t="str">
        <f aca="false">"Year " &amp; TEXT(YEAR(BJ25) - 2023, "0")</f>
        <v>Year 2</v>
      </c>
      <c r="BL25" s="130" t="str">
        <f aca="false">_xlfn.IFS(BM25&lt;90%,"Low",AND(BM25&gt;=90%,BM25&lt;=110%),"Medium", BM25&gt;110%,"High")</f>
        <v>Medium</v>
      </c>
      <c r="BM25" s="131" t="n">
        <f aca="false">VLOOKUP(TEXT(BJ25,"mmmm"),Seasonality_Table_Mediterranean,2,0)</f>
        <v>1</v>
      </c>
      <c r="BN25" s="132" t="n">
        <f aca="false">INDEX(Baseline_Income_Projections,MATCH(BI$2,'Country Sales &amp; Assumptions'!$G$13:$G$20,0),MATCH(Sales_Saudi_Arabia[[#This Row],[Year]],'Country Sales &amp; Assumptions'!$G$13:$L$13,0))*BM25</f>
        <v>123398.5144896</v>
      </c>
      <c r="BO25" s="132" t="n">
        <f aca="false">+BN25*0.06</f>
        <v>7403.910869376</v>
      </c>
      <c r="BP25" s="132" t="n">
        <f aca="false">IF(BO25&lt;10000,10000-BO25,0)</f>
        <v>2596.089130624</v>
      </c>
      <c r="BQ25" s="132" t="n">
        <f aca="false">BO25+BP25</f>
        <v>10000</v>
      </c>
    </row>
    <row r="26" customFormat="false" ht="11.25" hidden="false" customHeight="true" outlineLevel="0" collapsed="false">
      <c r="A26" s="134" t="s">
        <v>231</v>
      </c>
      <c r="B26" s="130" t="n">
        <v>45747</v>
      </c>
      <c r="C26" s="130" t="str">
        <f aca="false">"Year " &amp; TEXT(YEAR(B26) - 2023, "0")</f>
        <v>Year 2</v>
      </c>
      <c r="D26" s="130" t="str">
        <f aca="false">_xlfn.IFS(E26&lt;90%,"Low",AND(E26&gt;=90%,E26&lt;=110%),"Medium", E26&gt;110%,"High")</f>
        <v>Medium</v>
      </c>
      <c r="E26" s="131" t="n">
        <f aca="false">VLOOKUP(TEXT(B26,"mmmm"),Seasonality_Table_Gulf,2,0)</f>
        <v>1.1</v>
      </c>
      <c r="F26" s="132" t="n">
        <f aca="false">INDEX(Baseline_Income_Projections,MATCH("Saudi Arabia",'Country Sales &amp; Assumptions'!$G$13:$G$20,0),MATCH(Sales_Saudi_Arabia[[#This Row],[Year]],'Country Sales &amp; Assumptions'!$G$13:$L$13,0))*E26</f>
        <v>126169.659</v>
      </c>
      <c r="G26" s="132" t="n">
        <f aca="false">+F26*0.06</f>
        <v>7570.17954</v>
      </c>
      <c r="H26" s="132" t="n">
        <f aca="false">IF(G26&lt;10000,10000-G26,0)</f>
        <v>2429.82046</v>
      </c>
      <c r="I26" s="132" t="n">
        <f aca="false">G26+H26</f>
        <v>10000</v>
      </c>
      <c r="K26" s="129" t="s">
        <v>231</v>
      </c>
      <c r="L26" s="130" t="n">
        <v>45747</v>
      </c>
      <c r="M26" s="130" t="str">
        <f aca="false">"Year " &amp; TEXT(YEAR(L26) - 2023, "0")</f>
        <v>Year 2</v>
      </c>
      <c r="N26" s="130" t="str">
        <f aca="false">_xlfn.IFS(O26&lt;90%,"Low",AND(O26&gt;=90%,O26&lt;=110%),"Medium", O26&gt;110%,"High")</f>
        <v>Medium</v>
      </c>
      <c r="O26" s="131" t="n">
        <f aca="false">VLOOKUP(TEXT(L26,"mmmm"),Seasonality_Table_Gulf,2,0)</f>
        <v>1.1</v>
      </c>
      <c r="P26" s="132" t="n">
        <f aca="false">INDEX(Baseline_Income_Projections,MATCH(K$2,'Country Sales &amp; Assumptions'!$G$13:$G$20,0),MATCH(Sales_Saudi_Arabia[[#This Row],[Year]],'Country Sales &amp; Assumptions'!$G$13:$L$13,0))*O26</f>
        <v>160730.4182</v>
      </c>
      <c r="Q26" s="132" t="n">
        <f aca="false">+P26*0.06</f>
        <v>9643.825092</v>
      </c>
      <c r="R26" s="132" t="n">
        <f aca="false">IF(Q26&lt;10000,10000-Q26,0)</f>
        <v>356.174907999999</v>
      </c>
      <c r="S26" s="133" t="n">
        <f aca="false">Q26+R26</f>
        <v>10000</v>
      </c>
      <c r="U26" s="134" t="s">
        <v>231</v>
      </c>
      <c r="V26" s="130" t="n">
        <v>45747</v>
      </c>
      <c r="W26" s="130" t="str">
        <f aca="false">"Year " &amp; TEXT(YEAR(V26) - 2023, "0")</f>
        <v>Year 2</v>
      </c>
      <c r="X26" s="130" t="str">
        <f aca="false">_xlfn.IFS(Y26&lt;90%,"Low",AND(Y26&gt;=90%,Y26&lt;=110%),"Medium", Y26&gt;110%,"High")</f>
        <v>Medium</v>
      </c>
      <c r="Y26" s="131" t="n">
        <f aca="false">VLOOKUP(TEXT(V26,"mmmm"),Seasonality_Table_Gulf,2,0)</f>
        <v>1.1</v>
      </c>
      <c r="Z26" s="132" t="n">
        <f aca="false">INDEX(Baseline_Income_Projections,MATCH(U$2,'Country Sales &amp; Assumptions'!$G$13:$G$20,0),MATCH(Sales_Saudi_Arabia[[#This Row],[Year]],'Country Sales &amp; Assumptions'!$G$13:$L$13,0))*Y26</f>
        <v>170329.03965</v>
      </c>
      <c r="AA26" s="132" t="n">
        <f aca="false">+Z26*0.06</f>
        <v>10219.742379</v>
      </c>
      <c r="AB26" s="132" t="n">
        <f aca="false">IF(AA26&lt;10000,10000-AA26,0)</f>
        <v>0</v>
      </c>
      <c r="AC26" s="132" t="n">
        <f aca="false">AA26+AB26</f>
        <v>10219.742379</v>
      </c>
      <c r="AE26" s="134" t="s">
        <v>231</v>
      </c>
      <c r="AF26" s="130" t="n">
        <v>45747</v>
      </c>
      <c r="AG26" s="130" t="str">
        <f aca="false">"Year " &amp; TEXT(YEAR(AF26) - 2023, "0")</f>
        <v>Year 2</v>
      </c>
      <c r="AH26" s="130" t="str">
        <f aca="false">_xlfn.IFS(AI26&lt;90%,"Low",AND(AI26&gt;=90%,AI26&lt;=110%),"Medium", AI26&gt;110%,"High")</f>
        <v>Medium</v>
      </c>
      <c r="AI26" s="131" t="n">
        <f aca="false">VLOOKUP(TEXT(AF26,"mmmm"),Seasonality_Table_Gulf,2,0)</f>
        <v>1.1</v>
      </c>
      <c r="AJ26" s="132" t="n">
        <f aca="false">INDEX(Baseline_Income_Projections,MATCH(AE$2,'Country Sales &amp; Assumptions'!$G$13:$G$20,0),MATCH(Sales_Saudi_Arabia[[#This Row],[Year]],'Country Sales &amp; Assumptions'!$G$13:$L$13,0))*AI26</f>
        <v>148193.273921</v>
      </c>
      <c r="AK26" s="132" t="n">
        <f aca="false">+AJ26*0.06</f>
        <v>8891.59643526</v>
      </c>
      <c r="AL26" s="132" t="n">
        <f aca="false">IF(AK26&lt;10000,10000-AK26,0)</f>
        <v>1108.40356474</v>
      </c>
      <c r="AM26" s="132" t="n">
        <f aca="false">AK26+AL26</f>
        <v>10000</v>
      </c>
      <c r="AO26" s="134" t="s">
        <v>231</v>
      </c>
      <c r="AP26" s="130" t="n">
        <v>45747</v>
      </c>
      <c r="AQ26" s="130" t="str">
        <f aca="false">"Year " &amp; TEXT(YEAR(AP26) - 2023, "0")</f>
        <v>Year 2</v>
      </c>
      <c r="AR26" s="130" t="str">
        <f aca="false">_xlfn.IFS(AS26&lt;90%,"Low",AND(AS26&gt;=90%,AS26&lt;=110%),"Medium", AS26&gt;110%,"High")</f>
        <v>Medium</v>
      </c>
      <c r="AS26" s="131" t="n">
        <f aca="false">VLOOKUP(TEXT(AP26,"mmmm"),Seasonality_Table_Mediterranean,2,0)</f>
        <v>1.1</v>
      </c>
      <c r="AT26" s="132" t="n">
        <f aca="false">INDEX(Baseline_Income_Projections,MATCH(AO$2,'Country Sales &amp; Assumptions'!$G$13:$G$20,0),MATCH(Sales_Saudi_Arabia[[#This Row],[Year]],'Country Sales &amp; Assumptions'!$G$13:$L$13,0))*AS26</f>
        <v>134631.707827155</v>
      </c>
      <c r="AU26" s="132" t="n">
        <f aca="false">+AT26*0.06</f>
        <v>8077.9024696293</v>
      </c>
      <c r="AV26" s="132" t="n">
        <f aca="false">IF(AU26&lt;10000,10000-AU26,0)</f>
        <v>1922.0975303707</v>
      </c>
      <c r="AW26" s="132" t="n">
        <f aca="false">AU26+AV26</f>
        <v>10000</v>
      </c>
      <c r="AY26" s="134" t="s">
        <v>231</v>
      </c>
      <c r="AZ26" s="130" t="n">
        <v>45747</v>
      </c>
      <c r="BA26" s="130" t="str">
        <f aca="false">"Year " &amp; TEXT(YEAR(AZ26) - 2023, "0")</f>
        <v>Year 2</v>
      </c>
      <c r="BB26" s="130" t="str">
        <f aca="false">_xlfn.IFS(BC26&lt;90%,"Low",AND(BC26&gt;=90%,BC26&lt;=110%),"Medium", BC26&gt;110%,"High")</f>
        <v>Medium</v>
      </c>
      <c r="BC26" s="131" t="n">
        <f aca="false">VLOOKUP(TEXT(AZ26,"mmmm"),Seasonality_Table_Mediterranean,2,0)</f>
        <v>1.1</v>
      </c>
      <c r="BD26" s="132" t="n">
        <f aca="false">INDEX(Baseline_Income_Projections,MATCH(AY$2,'Country Sales &amp; Assumptions'!$G$13:$G$20,0),MATCH(Sales_Saudi_Arabia[[#This Row],[Year]],'Country Sales &amp; Assumptions'!$G$13:$L$13,0))*BC26</f>
        <v>121671.586432464</v>
      </c>
      <c r="BE26" s="132" t="n">
        <f aca="false">+BD26*0.06</f>
        <v>7300.29518594785</v>
      </c>
      <c r="BF26" s="132" t="n">
        <f aca="false">IF(BE26&lt;10000,10000-BE26,0)</f>
        <v>2699.70481405215</v>
      </c>
      <c r="BG26" s="132" t="n">
        <f aca="false">BE26+BF26</f>
        <v>10000</v>
      </c>
      <c r="BI26" s="134" t="s">
        <v>231</v>
      </c>
      <c r="BJ26" s="130" t="n">
        <v>45747</v>
      </c>
      <c r="BK26" s="130" t="str">
        <f aca="false">"Year " &amp; TEXT(YEAR(BJ26) - 2023, "0")</f>
        <v>Year 2</v>
      </c>
      <c r="BL26" s="130" t="str">
        <f aca="false">_xlfn.IFS(BM26&lt;90%,"Low",AND(BM26&gt;=90%,BM26&lt;=110%),"Medium", BM26&gt;110%,"High")</f>
        <v>Medium</v>
      </c>
      <c r="BM26" s="131" t="n">
        <f aca="false">VLOOKUP(TEXT(BJ26,"mmmm"),Seasonality_Table_Mediterranean,2,0)</f>
        <v>1.1</v>
      </c>
      <c r="BN26" s="132" t="n">
        <f aca="false">INDEX(Baseline_Income_Projections,MATCH(BI$2,'Country Sales &amp; Assumptions'!$G$13:$G$20,0),MATCH(Sales_Saudi_Arabia[[#This Row],[Year]],'Country Sales &amp; Assumptions'!$G$13:$L$13,0))*BM26</f>
        <v>135738.36593856</v>
      </c>
      <c r="BO26" s="132" t="n">
        <f aca="false">+BN26*0.06</f>
        <v>8144.3019563136</v>
      </c>
      <c r="BP26" s="132" t="n">
        <f aca="false">IF(BO26&lt;10000,10000-BO26,0)</f>
        <v>1855.6980436864</v>
      </c>
      <c r="BQ26" s="132" t="n">
        <f aca="false">BO26+BP26</f>
        <v>10000</v>
      </c>
    </row>
    <row r="27" customFormat="false" ht="11.25" hidden="false" customHeight="true" outlineLevel="0" collapsed="false">
      <c r="A27" s="134" t="s">
        <v>231</v>
      </c>
      <c r="B27" s="130" t="n">
        <v>45777</v>
      </c>
      <c r="C27" s="130" t="str">
        <f aca="false">"Year " &amp; TEXT(YEAR(B27) - 2023, "0")</f>
        <v>Year 2</v>
      </c>
      <c r="D27" s="130" t="str">
        <f aca="false">_xlfn.IFS(E27&lt;90%,"Low",AND(E27&gt;=90%,E27&lt;=110%),"Medium", E27&gt;110%,"High")</f>
        <v>Medium</v>
      </c>
      <c r="E27" s="131" t="n">
        <f aca="false">VLOOKUP(TEXT(B27,"mmmm"),Seasonality_Table_Gulf,2,0)</f>
        <v>0.9</v>
      </c>
      <c r="F27" s="132" t="n">
        <f aca="false">INDEX(Baseline_Income_Projections,MATCH("Saudi Arabia",'Country Sales &amp; Assumptions'!$G$13:$G$20,0),MATCH(Sales_Saudi_Arabia[[#This Row],[Year]],'Country Sales &amp; Assumptions'!$G$13:$L$13,0))*E27</f>
        <v>103229.721</v>
      </c>
      <c r="G27" s="132" t="n">
        <f aca="false">+F27*0.06</f>
        <v>6193.78326</v>
      </c>
      <c r="H27" s="132" t="n">
        <f aca="false">IF(G27&lt;10000,10000-G27,0)</f>
        <v>3806.21674</v>
      </c>
      <c r="I27" s="132" t="n">
        <f aca="false">G27+H27</f>
        <v>10000</v>
      </c>
      <c r="K27" s="129" t="s">
        <v>231</v>
      </c>
      <c r="L27" s="130" t="n">
        <v>45777</v>
      </c>
      <c r="M27" s="130" t="str">
        <f aca="false">"Year " &amp; TEXT(YEAR(L27) - 2023, "0")</f>
        <v>Year 2</v>
      </c>
      <c r="N27" s="130" t="str">
        <f aca="false">_xlfn.IFS(O27&lt;90%,"Low",AND(O27&gt;=90%,O27&lt;=110%),"Medium", O27&gt;110%,"High")</f>
        <v>Medium</v>
      </c>
      <c r="O27" s="131" t="n">
        <f aca="false">VLOOKUP(TEXT(L27,"mmmm"),Seasonality_Table_Gulf,2,0)</f>
        <v>0.9</v>
      </c>
      <c r="P27" s="132" t="n">
        <f aca="false">INDEX(Baseline_Income_Projections,MATCH(K$2,'Country Sales &amp; Assumptions'!$G$13:$G$20,0),MATCH(Sales_Saudi_Arabia[[#This Row],[Year]],'Country Sales &amp; Assumptions'!$G$13:$L$13,0))*O27</f>
        <v>131506.7058</v>
      </c>
      <c r="Q27" s="132" t="n">
        <f aca="false">+P27*0.06</f>
        <v>7890.402348</v>
      </c>
      <c r="R27" s="132" t="n">
        <f aca="false">IF(Q27&lt;10000,10000-Q27,0)</f>
        <v>2109.597652</v>
      </c>
      <c r="S27" s="133" t="n">
        <f aca="false">Q27+R27</f>
        <v>10000</v>
      </c>
      <c r="U27" s="134" t="s">
        <v>231</v>
      </c>
      <c r="V27" s="130" t="n">
        <v>45777</v>
      </c>
      <c r="W27" s="130" t="str">
        <f aca="false">"Year " &amp; TEXT(YEAR(V27) - 2023, "0")</f>
        <v>Year 2</v>
      </c>
      <c r="X27" s="130" t="str">
        <f aca="false">_xlfn.IFS(Y27&lt;90%,"Low",AND(Y27&gt;=90%,Y27&lt;=110%),"Medium", Y27&gt;110%,"High")</f>
        <v>Medium</v>
      </c>
      <c r="Y27" s="131" t="n">
        <f aca="false">VLOOKUP(TEXT(V27,"mmmm"),Seasonality_Table_Gulf,2,0)</f>
        <v>0.9</v>
      </c>
      <c r="Z27" s="132" t="n">
        <f aca="false">INDEX(Baseline_Income_Projections,MATCH(U$2,'Country Sales &amp; Assumptions'!$G$13:$G$20,0),MATCH(Sales_Saudi_Arabia[[#This Row],[Year]],'Country Sales &amp; Assumptions'!$G$13:$L$13,0))*Y27</f>
        <v>139360.12335</v>
      </c>
      <c r="AA27" s="132" t="n">
        <f aca="false">+Z27*0.06</f>
        <v>8361.607401</v>
      </c>
      <c r="AB27" s="132" t="n">
        <f aca="false">IF(AA27&lt;10000,10000-AA27,0)</f>
        <v>1638.392599</v>
      </c>
      <c r="AC27" s="132" t="n">
        <f aca="false">AA27+AB27</f>
        <v>10000</v>
      </c>
      <c r="AE27" s="134" t="s">
        <v>231</v>
      </c>
      <c r="AF27" s="130" t="n">
        <v>45777</v>
      </c>
      <c r="AG27" s="130" t="str">
        <f aca="false">"Year " &amp; TEXT(YEAR(AF27) - 2023, "0")</f>
        <v>Year 2</v>
      </c>
      <c r="AH27" s="130" t="str">
        <f aca="false">_xlfn.IFS(AI27&lt;90%,"Low",AND(AI27&gt;=90%,AI27&lt;=110%),"Medium", AI27&gt;110%,"High")</f>
        <v>Medium</v>
      </c>
      <c r="AI27" s="131" t="n">
        <f aca="false">VLOOKUP(TEXT(AF27,"mmmm"),Seasonality_Table_Gulf,2,0)</f>
        <v>0.9</v>
      </c>
      <c r="AJ27" s="132" t="n">
        <f aca="false">INDEX(Baseline_Income_Projections,MATCH(AE$2,'Country Sales &amp; Assumptions'!$G$13:$G$20,0),MATCH(Sales_Saudi_Arabia[[#This Row],[Year]],'Country Sales &amp; Assumptions'!$G$13:$L$13,0))*AI27</f>
        <v>121249.042299</v>
      </c>
      <c r="AK27" s="132" t="n">
        <f aca="false">+AJ27*0.06</f>
        <v>7274.94253794</v>
      </c>
      <c r="AL27" s="132" t="n">
        <f aca="false">IF(AK27&lt;10000,10000-AK27,0)</f>
        <v>2725.05746206</v>
      </c>
      <c r="AM27" s="132" t="n">
        <f aca="false">AK27+AL27</f>
        <v>10000</v>
      </c>
      <c r="AO27" s="134" t="s">
        <v>231</v>
      </c>
      <c r="AP27" s="130" t="n">
        <v>45777</v>
      </c>
      <c r="AQ27" s="130" t="str">
        <f aca="false">"Year " &amp; TEXT(YEAR(AP27) - 2023, "0")</f>
        <v>Year 2</v>
      </c>
      <c r="AR27" s="130" t="str">
        <f aca="false">_xlfn.IFS(AS27&lt;90%,"Low",AND(AS27&gt;=90%,AS27&lt;=110%),"Medium", AS27&gt;110%,"High")</f>
        <v>High</v>
      </c>
      <c r="AS27" s="131" t="n">
        <f aca="false">VLOOKUP(TEXT(AP27,"mmmm"),Seasonality_Table_Mediterranean,2,0)</f>
        <v>1.2</v>
      </c>
      <c r="AT27" s="132" t="n">
        <f aca="false">INDEX(Baseline_Income_Projections,MATCH(AO$2,'Country Sales &amp; Assumptions'!$G$13:$G$20,0),MATCH(Sales_Saudi_Arabia[[#This Row],[Year]],'Country Sales &amp; Assumptions'!$G$13:$L$13,0))*AS27</f>
        <v>146870.95399326</v>
      </c>
      <c r="AU27" s="132" t="n">
        <f aca="false">+AT27*0.06</f>
        <v>8812.2572395956</v>
      </c>
      <c r="AV27" s="132" t="n">
        <f aca="false">IF(AU27&lt;10000,10000-AU27,0)</f>
        <v>1187.7427604044</v>
      </c>
      <c r="AW27" s="132" t="n">
        <f aca="false">AU27+AV27</f>
        <v>10000</v>
      </c>
      <c r="AY27" s="134" t="s">
        <v>231</v>
      </c>
      <c r="AZ27" s="130" t="n">
        <v>45777</v>
      </c>
      <c r="BA27" s="130" t="str">
        <f aca="false">"Year " &amp; TEXT(YEAR(AZ27) - 2023, "0")</f>
        <v>Year 2</v>
      </c>
      <c r="BB27" s="130" t="str">
        <f aca="false">_xlfn.IFS(BC27&lt;90%,"Low",AND(BC27&gt;=90%,BC27&lt;=110%),"Medium", BC27&gt;110%,"High")</f>
        <v>High</v>
      </c>
      <c r="BC27" s="131" t="n">
        <f aca="false">VLOOKUP(TEXT(AZ27,"mmmm"),Seasonality_Table_Mediterranean,2,0)</f>
        <v>1.2</v>
      </c>
      <c r="BD27" s="132" t="n">
        <f aca="false">INDEX(Baseline_Income_Projections,MATCH(AY$2,'Country Sales &amp; Assumptions'!$G$13:$G$20,0),MATCH(Sales_Saudi_Arabia[[#This Row],[Year]],'Country Sales &amp; Assumptions'!$G$13:$L$13,0))*BC27</f>
        <v>132732.639744506</v>
      </c>
      <c r="BE27" s="132" t="n">
        <f aca="false">+BD27*0.06</f>
        <v>7963.95838467039</v>
      </c>
      <c r="BF27" s="132" t="n">
        <f aca="false">IF(BE27&lt;10000,10000-BE27,0)</f>
        <v>2036.04161532961</v>
      </c>
      <c r="BG27" s="132" t="n">
        <f aca="false">BE27+BF27</f>
        <v>10000</v>
      </c>
      <c r="BI27" s="134" t="s">
        <v>231</v>
      </c>
      <c r="BJ27" s="130" t="n">
        <v>45777</v>
      </c>
      <c r="BK27" s="130" t="str">
        <f aca="false">"Year " &amp; TEXT(YEAR(BJ27) - 2023, "0")</f>
        <v>Year 2</v>
      </c>
      <c r="BL27" s="130" t="str">
        <f aca="false">_xlfn.IFS(BM27&lt;90%,"Low",AND(BM27&gt;=90%,BM27&lt;=110%),"Medium", BM27&gt;110%,"High")</f>
        <v>High</v>
      </c>
      <c r="BM27" s="131" t="n">
        <f aca="false">VLOOKUP(TEXT(BJ27,"mmmm"),Seasonality_Table_Mediterranean,2,0)</f>
        <v>1.2</v>
      </c>
      <c r="BN27" s="132" t="n">
        <f aca="false">INDEX(Baseline_Income_Projections,MATCH(BI$2,'Country Sales &amp; Assumptions'!$G$13:$G$20,0),MATCH(Sales_Saudi_Arabia[[#This Row],[Year]],'Country Sales &amp; Assumptions'!$G$13:$L$13,0))*BM27</f>
        <v>148078.21738752</v>
      </c>
      <c r="BO27" s="132" t="n">
        <f aca="false">+BN27*0.06</f>
        <v>8884.6930432512</v>
      </c>
      <c r="BP27" s="132" t="n">
        <f aca="false">IF(BO27&lt;10000,10000-BO27,0)</f>
        <v>1115.3069567488</v>
      </c>
      <c r="BQ27" s="132" t="n">
        <f aca="false">BO27+BP27</f>
        <v>10000</v>
      </c>
    </row>
    <row r="28" customFormat="false" ht="11.25" hidden="false" customHeight="true" outlineLevel="0" collapsed="false">
      <c r="A28" s="134" t="s">
        <v>231</v>
      </c>
      <c r="B28" s="130" t="n">
        <v>45808</v>
      </c>
      <c r="C28" s="130" t="str">
        <f aca="false">"Year " &amp; TEXT(YEAR(B28) - 2023, "0")</f>
        <v>Year 2</v>
      </c>
      <c r="D28" s="130" t="str">
        <f aca="false">_xlfn.IFS(E28&lt;90%,"Low",AND(E28&gt;=90%,E28&lt;=110%),"Medium", E28&gt;110%,"High")</f>
        <v>Low</v>
      </c>
      <c r="E28" s="131" t="n">
        <f aca="false">VLOOKUP(TEXT(B28,"mmmm"),Seasonality_Table_Gulf,2,0)</f>
        <v>0.8</v>
      </c>
      <c r="F28" s="132" t="n">
        <f aca="false">INDEX(Baseline_Income_Projections,MATCH("Saudi Arabia",'Country Sales &amp; Assumptions'!$G$13:$G$20,0),MATCH(Sales_Saudi_Arabia[[#This Row],[Year]],'Country Sales &amp; Assumptions'!$G$13:$L$13,0))*E28</f>
        <v>91759.752</v>
      </c>
      <c r="G28" s="132" t="n">
        <f aca="false">+F28*0.06</f>
        <v>5505.58512</v>
      </c>
      <c r="H28" s="132" t="n">
        <f aca="false">IF(G28&lt;10000,10000-G28,0)</f>
        <v>4494.41488</v>
      </c>
      <c r="I28" s="132" t="n">
        <f aca="false">G28+H28</f>
        <v>10000</v>
      </c>
      <c r="K28" s="129" t="s">
        <v>231</v>
      </c>
      <c r="L28" s="130" t="n">
        <v>45808</v>
      </c>
      <c r="M28" s="130" t="str">
        <f aca="false">"Year " &amp; TEXT(YEAR(L28) - 2023, "0")</f>
        <v>Year 2</v>
      </c>
      <c r="N28" s="130" t="str">
        <f aca="false">_xlfn.IFS(O28&lt;90%,"Low",AND(O28&gt;=90%,O28&lt;=110%),"Medium", O28&gt;110%,"High")</f>
        <v>Low</v>
      </c>
      <c r="O28" s="131" t="n">
        <f aca="false">VLOOKUP(TEXT(L28,"mmmm"),Seasonality_Table_Gulf,2,0)</f>
        <v>0.8</v>
      </c>
      <c r="P28" s="132" t="n">
        <f aca="false">INDEX(Baseline_Income_Projections,MATCH(K$2,'Country Sales &amp; Assumptions'!$G$13:$G$20,0),MATCH(Sales_Saudi_Arabia[[#This Row],[Year]],'Country Sales &amp; Assumptions'!$G$13:$L$13,0))*O28</f>
        <v>116894.8496</v>
      </c>
      <c r="Q28" s="132" t="n">
        <f aca="false">+P28*0.06</f>
        <v>7013.690976</v>
      </c>
      <c r="R28" s="132" t="n">
        <f aca="false">IF(Q28&lt;10000,10000-Q28,0)</f>
        <v>2986.309024</v>
      </c>
      <c r="S28" s="133" t="n">
        <f aca="false">Q28+R28</f>
        <v>10000</v>
      </c>
      <c r="U28" s="134" t="s">
        <v>231</v>
      </c>
      <c r="V28" s="130" t="n">
        <v>45808</v>
      </c>
      <c r="W28" s="130" t="str">
        <f aca="false">"Year " &amp; TEXT(YEAR(V28) - 2023, "0")</f>
        <v>Year 2</v>
      </c>
      <c r="X28" s="130" t="str">
        <f aca="false">_xlfn.IFS(Y28&lt;90%,"Low",AND(Y28&gt;=90%,Y28&lt;=110%),"Medium", Y28&gt;110%,"High")</f>
        <v>Low</v>
      </c>
      <c r="Y28" s="131" t="n">
        <f aca="false">VLOOKUP(TEXT(V28,"mmmm"),Seasonality_Table_Gulf,2,0)</f>
        <v>0.8</v>
      </c>
      <c r="Z28" s="132" t="n">
        <f aca="false">INDEX(Baseline_Income_Projections,MATCH(U$2,'Country Sales &amp; Assumptions'!$G$13:$G$20,0),MATCH(Sales_Saudi_Arabia[[#This Row],[Year]],'Country Sales &amp; Assumptions'!$G$13:$L$13,0))*Y28</f>
        <v>123875.6652</v>
      </c>
      <c r="AA28" s="132" t="n">
        <f aca="false">+Z28*0.06</f>
        <v>7432.539912</v>
      </c>
      <c r="AB28" s="132" t="n">
        <f aca="false">IF(AA28&lt;10000,10000-AA28,0)</f>
        <v>2567.460088</v>
      </c>
      <c r="AC28" s="132" t="n">
        <f aca="false">AA28+AB28</f>
        <v>10000</v>
      </c>
      <c r="AE28" s="134" t="s">
        <v>231</v>
      </c>
      <c r="AF28" s="130" t="n">
        <v>45808</v>
      </c>
      <c r="AG28" s="130" t="str">
        <f aca="false">"Year " &amp; TEXT(YEAR(AF28) - 2023, "0")</f>
        <v>Year 2</v>
      </c>
      <c r="AH28" s="130" t="str">
        <f aca="false">_xlfn.IFS(AI28&lt;90%,"Low",AND(AI28&gt;=90%,AI28&lt;=110%),"Medium", AI28&gt;110%,"High")</f>
        <v>Low</v>
      </c>
      <c r="AI28" s="131" t="n">
        <f aca="false">VLOOKUP(TEXT(AF28,"mmmm"),Seasonality_Table_Gulf,2,0)</f>
        <v>0.8</v>
      </c>
      <c r="AJ28" s="132" t="n">
        <f aca="false">INDEX(Baseline_Income_Projections,MATCH(AE$2,'Country Sales &amp; Assumptions'!$G$13:$G$20,0),MATCH(Sales_Saudi_Arabia[[#This Row],[Year]],'Country Sales &amp; Assumptions'!$G$13:$L$13,0))*AI28</f>
        <v>107776.926488</v>
      </c>
      <c r="AK28" s="132" t="n">
        <f aca="false">+AJ28*0.06</f>
        <v>6466.61558928</v>
      </c>
      <c r="AL28" s="132" t="n">
        <f aca="false">IF(AK28&lt;10000,10000-AK28,0)</f>
        <v>3533.38441072</v>
      </c>
      <c r="AM28" s="132" t="n">
        <f aca="false">AK28+AL28</f>
        <v>10000</v>
      </c>
      <c r="AO28" s="134" t="s">
        <v>231</v>
      </c>
      <c r="AP28" s="130" t="n">
        <v>45808</v>
      </c>
      <c r="AQ28" s="130" t="str">
        <f aca="false">"Year " &amp; TEXT(YEAR(AP28) - 2023, "0")</f>
        <v>Year 2</v>
      </c>
      <c r="AR28" s="130" t="str">
        <f aca="false">_xlfn.IFS(AS28&lt;90%,"Low",AND(AS28&gt;=90%,AS28&lt;=110%),"Medium", AS28&gt;110%,"High")</f>
        <v>Medium</v>
      </c>
      <c r="AS28" s="131" t="n">
        <f aca="false">VLOOKUP(TEXT(AP28,"mmmm"),Seasonality_Table_Mediterranean,2,0)</f>
        <v>1.1</v>
      </c>
      <c r="AT28" s="132" t="n">
        <f aca="false">INDEX(Baseline_Income_Projections,MATCH(AO$2,'Country Sales &amp; Assumptions'!$G$13:$G$20,0),MATCH(Sales_Saudi_Arabia[[#This Row],[Year]],'Country Sales &amp; Assumptions'!$G$13:$L$13,0))*AS28</f>
        <v>134631.707827155</v>
      </c>
      <c r="AU28" s="132" t="n">
        <f aca="false">+AT28*0.06</f>
        <v>8077.9024696293</v>
      </c>
      <c r="AV28" s="132" t="n">
        <f aca="false">IF(AU28&lt;10000,10000-AU28,0)</f>
        <v>1922.0975303707</v>
      </c>
      <c r="AW28" s="132" t="n">
        <f aca="false">AU28+AV28</f>
        <v>10000</v>
      </c>
      <c r="AY28" s="134" t="s">
        <v>231</v>
      </c>
      <c r="AZ28" s="130" t="n">
        <v>45808</v>
      </c>
      <c r="BA28" s="130" t="str">
        <f aca="false">"Year " &amp; TEXT(YEAR(AZ28) - 2023, "0")</f>
        <v>Year 2</v>
      </c>
      <c r="BB28" s="130" t="str">
        <f aca="false">_xlfn.IFS(BC28&lt;90%,"Low",AND(BC28&gt;=90%,BC28&lt;=110%),"Medium", BC28&gt;110%,"High")</f>
        <v>Medium</v>
      </c>
      <c r="BC28" s="131" t="n">
        <f aca="false">VLOOKUP(TEXT(AZ28,"mmmm"),Seasonality_Table_Mediterranean,2,0)</f>
        <v>1.1</v>
      </c>
      <c r="BD28" s="132" t="n">
        <f aca="false">INDEX(Baseline_Income_Projections,MATCH(AY$2,'Country Sales &amp; Assumptions'!$G$13:$G$20,0),MATCH(Sales_Saudi_Arabia[[#This Row],[Year]],'Country Sales &amp; Assumptions'!$G$13:$L$13,0))*BC28</f>
        <v>121671.586432464</v>
      </c>
      <c r="BE28" s="132" t="n">
        <f aca="false">+BD28*0.06</f>
        <v>7300.29518594785</v>
      </c>
      <c r="BF28" s="132" t="n">
        <f aca="false">IF(BE28&lt;10000,10000-BE28,0)</f>
        <v>2699.70481405215</v>
      </c>
      <c r="BG28" s="132" t="n">
        <f aca="false">BE28+BF28</f>
        <v>10000</v>
      </c>
      <c r="BI28" s="134" t="s">
        <v>231</v>
      </c>
      <c r="BJ28" s="130" t="n">
        <v>45808</v>
      </c>
      <c r="BK28" s="130" t="str">
        <f aca="false">"Year " &amp; TEXT(YEAR(BJ28) - 2023, "0")</f>
        <v>Year 2</v>
      </c>
      <c r="BL28" s="130" t="str">
        <f aca="false">_xlfn.IFS(BM28&lt;90%,"Low",AND(BM28&gt;=90%,BM28&lt;=110%),"Medium", BM28&gt;110%,"High")</f>
        <v>Medium</v>
      </c>
      <c r="BM28" s="131" t="n">
        <f aca="false">VLOOKUP(TEXT(BJ28,"mmmm"),Seasonality_Table_Mediterranean,2,0)</f>
        <v>1.1</v>
      </c>
      <c r="BN28" s="132" t="n">
        <f aca="false">INDEX(Baseline_Income_Projections,MATCH(BI$2,'Country Sales &amp; Assumptions'!$G$13:$G$20,0),MATCH(Sales_Saudi_Arabia[[#This Row],[Year]],'Country Sales &amp; Assumptions'!$G$13:$L$13,0))*BM28</f>
        <v>135738.36593856</v>
      </c>
      <c r="BO28" s="132" t="n">
        <f aca="false">+BN28*0.06</f>
        <v>8144.3019563136</v>
      </c>
      <c r="BP28" s="132" t="n">
        <f aca="false">IF(BO28&lt;10000,10000-BO28,0)</f>
        <v>1855.6980436864</v>
      </c>
      <c r="BQ28" s="132" t="n">
        <f aca="false">BO28+BP28</f>
        <v>10000</v>
      </c>
    </row>
    <row r="29" customFormat="false" ht="11.25" hidden="false" customHeight="true" outlineLevel="0" collapsed="false">
      <c r="A29" s="134" t="s">
        <v>231</v>
      </c>
      <c r="B29" s="130" t="n">
        <v>45838</v>
      </c>
      <c r="C29" s="130" t="str">
        <f aca="false">"Year " &amp; TEXT(YEAR(B29) - 2023, "0")</f>
        <v>Year 2</v>
      </c>
      <c r="D29" s="130" t="str">
        <f aca="false">_xlfn.IFS(E29&lt;90%,"Low",AND(E29&gt;=90%,E29&lt;=110%),"Medium", E29&gt;110%,"High")</f>
        <v>Low</v>
      </c>
      <c r="E29" s="131" t="n">
        <f aca="false">VLOOKUP(TEXT(B29,"mmmm"),Seasonality_Table_Gulf,2,0)</f>
        <v>0.75</v>
      </c>
      <c r="F29" s="132" t="n">
        <f aca="false">INDEX(Baseline_Income_Projections,MATCH("Saudi Arabia",'Country Sales &amp; Assumptions'!$G$13:$G$20,0),MATCH(Sales_Saudi_Arabia[[#This Row],[Year]],'Country Sales &amp; Assumptions'!$G$13:$L$13,0))*E29</f>
        <v>86024.7675</v>
      </c>
      <c r="G29" s="132" t="n">
        <f aca="false">+F29*0.06</f>
        <v>5161.48605</v>
      </c>
      <c r="H29" s="132" t="n">
        <f aca="false">IF(G29&lt;10000,10000-G29,0)</f>
        <v>4838.51395</v>
      </c>
      <c r="I29" s="132" t="n">
        <f aca="false">G29+H29</f>
        <v>10000</v>
      </c>
      <c r="K29" s="129" t="s">
        <v>231</v>
      </c>
      <c r="L29" s="130" t="n">
        <v>45838</v>
      </c>
      <c r="M29" s="130" t="str">
        <f aca="false">"Year " &amp; TEXT(YEAR(L29) - 2023, "0")</f>
        <v>Year 2</v>
      </c>
      <c r="N29" s="130" t="str">
        <f aca="false">_xlfn.IFS(O29&lt;90%,"Low",AND(O29&gt;=90%,O29&lt;=110%),"Medium", O29&gt;110%,"High")</f>
        <v>Low</v>
      </c>
      <c r="O29" s="131" t="n">
        <f aca="false">VLOOKUP(TEXT(L29,"mmmm"),Seasonality_Table_Gulf,2,0)</f>
        <v>0.75</v>
      </c>
      <c r="P29" s="132" t="n">
        <f aca="false">INDEX(Baseline_Income_Projections,MATCH(K$2,'Country Sales &amp; Assumptions'!$G$13:$G$20,0),MATCH(Sales_Saudi_Arabia[[#This Row],[Year]],'Country Sales &amp; Assumptions'!$G$13:$L$13,0))*O29</f>
        <v>109588.9215</v>
      </c>
      <c r="Q29" s="132" t="n">
        <f aca="false">+P29*0.06</f>
        <v>6575.33529</v>
      </c>
      <c r="R29" s="132" t="n">
        <f aca="false">IF(Q29&lt;10000,10000-Q29,0)</f>
        <v>3424.66471</v>
      </c>
      <c r="S29" s="133" t="n">
        <f aca="false">Q29+R29</f>
        <v>10000</v>
      </c>
      <c r="U29" s="134" t="s">
        <v>231</v>
      </c>
      <c r="V29" s="130" t="n">
        <v>45838</v>
      </c>
      <c r="W29" s="130" t="str">
        <f aca="false">"Year " &amp; TEXT(YEAR(V29) - 2023, "0")</f>
        <v>Year 2</v>
      </c>
      <c r="X29" s="130" t="str">
        <f aca="false">_xlfn.IFS(Y29&lt;90%,"Low",AND(Y29&gt;=90%,Y29&lt;=110%),"Medium", Y29&gt;110%,"High")</f>
        <v>Low</v>
      </c>
      <c r="Y29" s="131" t="n">
        <f aca="false">VLOOKUP(TEXT(V29,"mmmm"),Seasonality_Table_Gulf,2,0)</f>
        <v>0.75</v>
      </c>
      <c r="Z29" s="132" t="n">
        <f aca="false">INDEX(Baseline_Income_Projections,MATCH(U$2,'Country Sales &amp; Assumptions'!$G$13:$G$20,0),MATCH(Sales_Saudi_Arabia[[#This Row],[Year]],'Country Sales &amp; Assumptions'!$G$13:$L$13,0))*Y29</f>
        <v>116133.436125</v>
      </c>
      <c r="AA29" s="132" t="n">
        <f aca="false">+Z29*0.06</f>
        <v>6968.0061675</v>
      </c>
      <c r="AB29" s="132" t="n">
        <f aca="false">IF(AA29&lt;10000,10000-AA29,0)</f>
        <v>3031.9938325</v>
      </c>
      <c r="AC29" s="132" t="n">
        <f aca="false">AA29+AB29</f>
        <v>10000</v>
      </c>
      <c r="AE29" s="134" t="s">
        <v>231</v>
      </c>
      <c r="AF29" s="130" t="n">
        <v>45838</v>
      </c>
      <c r="AG29" s="130" t="str">
        <f aca="false">"Year " &amp; TEXT(YEAR(AF29) - 2023, "0")</f>
        <v>Year 2</v>
      </c>
      <c r="AH29" s="130" t="str">
        <f aca="false">_xlfn.IFS(AI29&lt;90%,"Low",AND(AI29&gt;=90%,AI29&lt;=110%),"Medium", AI29&gt;110%,"High")</f>
        <v>Low</v>
      </c>
      <c r="AI29" s="131" t="n">
        <f aca="false">VLOOKUP(TEXT(AF29,"mmmm"),Seasonality_Table_Gulf,2,0)</f>
        <v>0.75</v>
      </c>
      <c r="AJ29" s="132" t="n">
        <f aca="false">INDEX(Baseline_Income_Projections,MATCH(AE$2,'Country Sales &amp; Assumptions'!$G$13:$G$20,0),MATCH(Sales_Saudi_Arabia[[#This Row],[Year]],'Country Sales &amp; Assumptions'!$G$13:$L$13,0))*AI29</f>
        <v>101040.8685825</v>
      </c>
      <c r="AK29" s="132" t="n">
        <f aca="false">+AJ29*0.06</f>
        <v>6062.45211495</v>
      </c>
      <c r="AL29" s="132" t="n">
        <f aca="false">IF(AK29&lt;10000,10000-AK29,0)</f>
        <v>3937.54788505</v>
      </c>
      <c r="AM29" s="132" t="n">
        <f aca="false">AK29+AL29</f>
        <v>10000</v>
      </c>
      <c r="AO29" s="134" t="s">
        <v>231</v>
      </c>
      <c r="AP29" s="130" t="n">
        <v>45838</v>
      </c>
      <c r="AQ29" s="130" t="str">
        <f aca="false">"Year " &amp; TEXT(YEAR(AP29) - 2023, "0")</f>
        <v>Year 2</v>
      </c>
      <c r="AR29" s="130" t="str">
        <f aca="false">_xlfn.IFS(AS29&lt;90%,"Low",AND(AS29&gt;=90%,AS29&lt;=110%),"Medium", AS29&gt;110%,"High")</f>
        <v>Medium</v>
      </c>
      <c r="AS29" s="131" t="n">
        <f aca="false">VLOOKUP(TEXT(AP29,"mmmm"),Seasonality_Table_Mediterranean,2,0)</f>
        <v>1</v>
      </c>
      <c r="AT29" s="132" t="n">
        <f aca="false">INDEX(Baseline_Income_Projections,MATCH(AO$2,'Country Sales &amp; Assumptions'!$G$13:$G$20,0),MATCH(Sales_Saudi_Arabia[[#This Row],[Year]],'Country Sales &amp; Assumptions'!$G$13:$L$13,0))*AS29</f>
        <v>122392.46166105</v>
      </c>
      <c r="AU29" s="132" t="n">
        <f aca="false">+AT29*0.06</f>
        <v>7343.547699663</v>
      </c>
      <c r="AV29" s="132" t="n">
        <f aca="false">IF(AU29&lt;10000,10000-AU29,0)</f>
        <v>2656.452300337</v>
      </c>
      <c r="AW29" s="132" t="n">
        <f aca="false">AU29+AV29</f>
        <v>10000</v>
      </c>
      <c r="AY29" s="134" t="s">
        <v>231</v>
      </c>
      <c r="AZ29" s="130" t="n">
        <v>45838</v>
      </c>
      <c r="BA29" s="130" t="str">
        <f aca="false">"Year " &amp; TEXT(YEAR(AZ29) - 2023, "0")</f>
        <v>Year 2</v>
      </c>
      <c r="BB29" s="130" t="str">
        <f aca="false">_xlfn.IFS(BC29&lt;90%,"Low",AND(BC29&gt;=90%,BC29&lt;=110%),"Medium", BC29&gt;110%,"High")</f>
        <v>Medium</v>
      </c>
      <c r="BC29" s="131" t="n">
        <f aca="false">VLOOKUP(TEXT(AZ29,"mmmm"),Seasonality_Table_Mediterranean,2,0)</f>
        <v>1</v>
      </c>
      <c r="BD29" s="132" t="n">
        <f aca="false">INDEX(Baseline_Income_Projections,MATCH(AY$2,'Country Sales &amp; Assumptions'!$G$13:$G$20,0),MATCH(Sales_Saudi_Arabia[[#This Row],[Year]],'Country Sales &amp; Assumptions'!$G$13:$L$13,0))*BC29</f>
        <v>110610.533120422</v>
      </c>
      <c r="BE29" s="132" t="n">
        <f aca="false">+BD29*0.06</f>
        <v>6636.63198722532</v>
      </c>
      <c r="BF29" s="132" t="n">
        <f aca="false">IF(BE29&lt;10000,10000-BE29,0)</f>
        <v>3363.36801277468</v>
      </c>
      <c r="BG29" s="132" t="n">
        <f aca="false">BE29+BF29</f>
        <v>10000</v>
      </c>
      <c r="BI29" s="134" t="s">
        <v>231</v>
      </c>
      <c r="BJ29" s="130" t="n">
        <v>45838</v>
      </c>
      <c r="BK29" s="130" t="str">
        <f aca="false">"Year " &amp; TEXT(YEAR(BJ29) - 2023, "0")</f>
        <v>Year 2</v>
      </c>
      <c r="BL29" s="130" t="str">
        <f aca="false">_xlfn.IFS(BM29&lt;90%,"Low",AND(BM29&gt;=90%,BM29&lt;=110%),"Medium", BM29&gt;110%,"High")</f>
        <v>Medium</v>
      </c>
      <c r="BM29" s="131" t="n">
        <f aca="false">VLOOKUP(TEXT(BJ29,"mmmm"),Seasonality_Table_Mediterranean,2,0)</f>
        <v>1</v>
      </c>
      <c r="BN29" s="132" t="n">
        <f aca="false">INDEX(Baseline_Income_Projections,MATCH(BI$2,'Country Sales &amp; Assumptions'!$G$13:$G$20,0),MATCH(Sales_Saudi_Arabia[[#This Row],[Year]],'Country Sales &amp; Assumptions'!$G$13:$L$13,0))*BM29</f>
        <v>123398.5144896</v>
      </c>
      <c r="BO29" s="132" t="n">
        <f aca="false">+BN29*0.06</f>
        <v>7403.910869376</v>
      </c>
      <c r="BP29" s="132" t="n">
        <f aca="false">IF(BO29&lt;10000,10000-BO29,0)</f>
        <v>2596.089130624</v>
      </c>
      <c r="BQ29" s="132" t="n">
        <f aca="false">BO29+BP29</f>
        <v>10000</v>
      </c>
    </row>
    <row r="30" customFormat="false" ht="11.25" hidden="false" customHeight="true" outlineLevel="0" collapsed="false">
      <c r="A30" s="134" t="s">
        <v>231</v>
      </c>
      <c r="B30" s="130" t="n">
        <v>45869</v>
      </c>
      <c r="C30" s="130" t="str">
        <f aca="false">"Year " &amp; TEXT(YEAR(B30) - 2023, "0")</f>
        <v>Year 2</v>
      </c>
      <c r="D30" s="130" t="str">
        <f aca="false">_xlfn.IFS(E30&lt;90%,"Low",AND(E30&gt;=90%,E30&lt;=110%),"Medium", E30&gt;110%,"High")</f>
        <v>Low</v>
      </c>
      <c r="E30" s="131" t="n">
        <f aca="false">VLOOKUP(TEXT(B30,"mmmm"),Seasonality_Table_Gulf,2,0)</f>
        <v>0.7</v>
      </c>
      <c r="F30" s="132" t="n">
        <f aca="false">INDEX(Baseline_Income_Projections,MATCH("Saudi Arabia",'Country Sales &amp; Assumptions'!$G$13:$G$20,0),MATCH(Sales_Saudi_Arabia[[#This Row],[Year]],'Country Sales &amp; Assumptions'!$G$13:$L$13,0))*E30</f>
        <v>80289.783</v>
      </c>
      <c r="G30" s="132" t="n">
        <f aca="false">+F30*0.06</f>
        <v>4817.38698</v>
      </c>
      <c r="H30" s="132" t="n">
        <f aca="false">IF(G30&lt;10000,10000-G30,0)</f>
        <v>5182.61302</v>
      </c>
      <c r="I30" s="132" t="n">
        <f aca="false">G30+H30</f>
        <v>10000</v>
      </c>
      <c r="K30" s="129" t="s">
        <v>231</v>
      </c>
      <c r="L30" s="130" t="n">
        <v>45869</v>
      </c>
      <c r="M30" s="130" t="str">
        <f aca="false">"Year " &amp; TEXT(YEAR(L30) - 2023, "0")</f>
        <v>Year 2</v>
      </c>
      <c r="N30" s="130" t="str">
        <f aca="false">_xlfn.IFS(O30&lt;90%,"Low",AND(O30&gt;=90%,O30&lt;=110%),"Medium", O30&gt;110%,"High")</f>
        <v>Low</v>
      </c>
      <c r="O30" s="131" t="n">
        <f aca="false">VLOOKUP(TEXT(L30,"mmmm"),Seasonality_Table_Gulf,2,0)</f>
        <v>0.7</v>
      </c>
      <c r="P30" s="132" t="n">
        <f aca="false">INDEX(Baseline_Income_Projections,MATCH(K$2,'Country Sales &amp; Assumptions'!$G$13:$G$20,0),MATCH(Sales_Saudi_Arabia[[#This Row],[Year]],'Country Sales &amp; Assumptions'!$G$13:$L$13,0))*O30</f>
        <v>102282.9934</v>
      </c>
      <c r="Q30" s="132" t="n">
        <f aca="false">+P30*0.06</f>
        <v>6136.979604</v>
      </c>
      <c r="R30" s="132" t="n">
        <f aca="false">IF(Q30&lt;10000,10000-Q30,0)</f>
        <v>3863.020396</v>
      </c>
      <c r="S30" s="133" t="n">
        <f aca="false">Q30+R30</f>
        <v>10000</v>
      </c>
      <c r="U30" s="134" t="s">
        <v>231</v>
      </c>
      <c r="V30" s="130" t="n">
        <v>45869</v>
      </c>
      <c r="W30" s="130" t="str">
        <f aca="false">"Year " &amp; TEXT(YEAR(V30) - 2023, "0")</f>
        <v>Year 2</v>
      </c>
      <c r="X30" s="130" t="str">
        <f aca="false">_xlfn.IFS(Y30&lt;90%,"Low",AND(Y30&gt;=90%,Y30&lt;=110%),"Medium", Y30&gt;110%,"High")</f>
        <v>Low</v>
      </c>
      <c r="Y30" s="131" t="n">
        <f aca="false">VLOOKUP(TEXT(V30,"mmmm"),Seasonality_Table_Gulf,2,0)</f>
        <v>0.7</v>
      </c>
      <c r="Z30" s="132" t="n">
        <f aca="false">INDEX(Baseline_Income_Projections,MATCH(U$2,'Country Sales &amp; Assumptions'!$G$13:$G$20,0),MATCH(Sales_Saudi_Arabia[[#This Row],[Year]],'Country Sales &amp; Assumptions'!$G$13:$L$13,0))*Y30</f>
        <v>108391.20705</v>
      </c>
      <c r="AA30" s="132" t="n">
        <f aca="false">+Z30*0.06</f>
        <v>6503.472423</v>
      </c>
      <c r="AB30" s="132" t="n">
        <f aca="false">IF(AA30&lt;10000,10000-AA30,0)</f>
        <v>3496.527577</v>
      </c>
      <c r="AC30" s="132" t="n">
        <f aca="false">AA30+AB30</f>
        <v>10000</v>
      </c>
      <c r="AE30" s="134" t="s">
        <v>231</v>
      </c>
      <c r="AF30" s="130" t="n">
        <v>45869</v>
      </c>
      <c r="AG30" s="130" t="str">
        <f aca="false">"Year " &amp; TEXT(YEAR(AF30) - 2023, "0")</f>
        <v>Year 2</v>
      </c>
      <c r="AH30" s="130" t="str">
        <f aca="false">_xlfn.IFS(AI30&lt;90%,"Low",AND(AI30&gt;=90%,AI30&lt;=110%),"Medium", AI30&gt;110%,"High")</f>
        <v>Low</v>
      </c>
      <c r="AI30" s="131" t="n">
        <f aca="false">VLOOKUP(TEXT(AF30,"mmmm"),Seasonality_Table_Gulf,2,0)</f>
        <v>0.7</v>
      </c>
      <c r="AJ30" s="132" t="n">
        <f aca="false">INDEX(Baseline_Income_Projections,MATCH(AE$2,'Country Sales &amp; Assumptions'!$G$13:$G$20,0),MATCH(Sales_Saudi_Arabia[[#This Row],[Year]],'Country Sales &amp; Assumptions'!$G$13:$L$13,0))*AI30</f>
        <v>94304.810677</v>
      </c>
      <c r="AK30" s="132" t="n">
        <f aca="false">+AJ30*0.06</f>
        <v>5658.28864062</v>
      </c>
      <c r="AL30" s="132" t="n">
        <f aca="false">IF(AK30&lt;10000,10000-AK30,0)</f>
        <v>4341.71135938</v>
      </c>
      <c r="AM30" s="132" t="n">
        <f aca="false">AK30+AL30</f>
        <v>10000</v>
      </c>
      <c r="AO30" s="134" t="s">
        <v>231</v>
      </c>
      <c r="AP30" s="130" t="n">
        <v>45869</v>
      </c>
      <c r="AQ30" s="130" t="str">
        <f aca="false">"Year " &amp; TEXT(YEAR(AP30) - 2023, "0")</f>
        <v>Year 2</v>
      </c>
      <c r="AR30" s="130" t="str">
        <f aca="false">_xlfn.IFS(AS30&lt;90%,"Low",AND(AS30&gt;=90%,AS30&lt;=110%),"Medium", AS30&gt;110%,"High")</f>
        <v>Medium</v>
      </c>
      <c r="AS30" s="131" t="n">
        <f aca="false">VLOOKUP(TEXT(AP30,"mmmm"),Seasonality_Table_Mediterranean,2,0)</f>
        <v>0.9</v>
      </c>
      <c r="AT30" s="132" t="n">
        <f aca="false">INDEX(Baseline_Income_Projections,MATCH(AO$2,'Country Sales &amp; Assumptions'!$G$13:$G$20,0),MATCH(Sales_Saudi_Arabia[[#This Row],[Year]],'Country Sales &amp; Assumptions'!$G$13:$L$13,0))*AS30</f>
        <v>110153.215494945</v>
      </c>
      <c r="AU30" s="132" t="n">
        <f aca="false">+AT30*0.06</f>
        <v>6609.1929296967</v>
      </c>
      <c r="AV30" s="132" t="n">
        <f aca="false">IF(AU30&lt;10000,10000-AU30,0)</f>
        <v>3390.8070703033</v>
      </c>
      <c r="AW30" s="132" t="n">
        <f aca="false">AU30+AV30</f>
        <v>10000</v>
      </c>
      <c r="AY30" s="134" t="s">
        <v>231</v>
      </c>
      <c r="AZ30" s="130" t="n">
        <v>45869</v>
      </c>
      <c r="BA30" s="130" t="str">
        <f aca="false">"Year " &amp; TEXT(YEAR(AZ30) - 2023, "0")</f>
        <v>Year 2</v>
      </c>
      <c r="BB30" s="130" t="str">
        <f aca="false">_xlfn.IFS(BC30&lt;90%,"Low",AND(BC30&gt;=90%,BC30&lt;=110%),"Medium", BC30&gt;110%,"High")</f>
        <v>Medium</v>
      </c>
      <c r="BC30" s="131" t="n">
        <f aca="false">VLOOKUP(TEXT(AZ30,"mmmm"),Seasonality_Table_Mediterranean,2,0)</f>
        <v>0.9</v>
      </c>
      <c r="BD30" s="132" t="n">
        <f aca="false">INDEX(Baseline_Income_Projections,MATCH(AY$2,'Country Sales &amp; Assumptions'!$G$13:$G$20,0),MATCH(Sales_Saudi_Arabia[[#This Row],[Year]],'Country Sales &amp; Assumptions'!$G$13:$L$13,0))*BC30</f>
        <v>99549.4798083798</v>
      </c>
      <c r="BE30" s="132" t="n">
        <f aca="false">+BD30*0.06</f>
        <v>5972.96878850279</v>
      </c>
      <c r="BF30" s="132" t="n">
        <f aca="false">IF(BE30&lt;10000,10000-BE30,0)</f>
        <v>4027.03121149721</v>
      </c>
      <c r="BG30" s="132" t="n">
        <f aca="false">BE30+BF30</f>
        <v>10000</v>
      </c>
      <c r="BI30" s="134" t="s">
        <v>231</v>
      </c>
      <c r="BJ30" s="130" t="n">
        <v>45869</v>
      </c>
      <c r="BK30" s="130" t="str">
        <f aca="false">"Year " &amp; TEXT(YEAR(BJ30) - 2023, "0")</f>
        <v>Year 2</v>
      </c>
      <c r="BL30" s="130" t="str">
        <f aca="false">_xlfn.IFS(BM30&lt;90%,"Low",AND(BM30&gt;=90%,BM30&lt;=110%),"Medium", BM30&gt;110%,"High")</f>
        <v>Medium</v>
      </c>
      <c r="BM30" s="131" t="n">
        <f aca="false">VLOOKUP(TEXT(BJ30,"mmmm"),Seasonality_Table_Mediterranean,2,0)</f>
        <v>0.9</v>
      </c>
      <c r="BN30" s="132" t="n">
        <f aca="false">INDEX(Baseline_Income_Projections,MATCH(BI$2,'Country Sales &amp; Assumptions'!$G$13:$G$20,0),MATCH(Sales_Saudi_Arabia[[#This Row],[Year]],'Country Sales &amp; Assumptions'!$G$13:$L$13,0))*BM30</f>
        <v>111058.66304064</v>
      </c>
      <c r="BO30" s="132" t="n">
        <f aca="false">+BN30*0.06</f>
        <v>6663.5197824384</v>
      </c>
      <c r="BP30" s="132" t="n">
        <f aca="false">IF(BO30&lt;10000,10000-BO30,0)</f>
        <v>3336.4802175616</v>
      </c>
      <c r="BQ30" s="132" t="n">
        <f aca="false">BO30+BP30</f>
        <v>10000</v>
      </c>
    </row>
    <row r="31" customFormat="false" ht="11.25" hidden="false" customHeight="true" outlineLevel="0" collapsed="false">
      <c r="A31" s="134" t="s">
        <v>231</v>
      </c>
      <c r="B31" s="130" t="n">
        <v>45900</v>
      </c>
      <c r="C31" s="130" t="str">
        <f aca="false">"Year " &amp; TEXT(YEAR(B31) - 2023, "0")</f>
        <v>Year 2</v>
      </c>
      <c r="D31" s="130" t="str">
        <f aca="false">_xlfn.IFS(E31&lt;90%,"Low",AND(E31&gt;=90%,E31&lt;=110%),"Medium", E31&gt;110%,"High")</f>
        <v>Low</v>
      </c>
      <c r="E31" s="131" t="n">
        <f aca="false">VLOOKUP(TEXT(B31,"mmmm"),Seasonality_Table_Gulf,2,0)</f>
        <v>0.75</v>
      </c>
      <c r="F31" s="132" t="n">
        <f aca="false">INDEX(Baseline_Income_Projections,MATCH("Saudi Arabia",'Country Sales &amp; Assumptions'!$G$13:$G$20,0),MATCH(Sales_Saudi_Arabia[[#This Row],[Year]],'Country Sales &amp; Assumptions'!$G$13:$L$13,0))*E31</f>
        <v>86024.7675</v>
      </c>
      <c r="G31" s="132" t="n">
        <f aca="false">+F31*0.06</f>
        <v>5161.48605</v>
      </c>
      <c r="H31" s="132" t="n">
        <f aca="false">IF(G31&lt;10000,10000-G31,0)</f>
        <v>4838.51395</v>
      </c>
      <c r="I31" s="132" t="n">
        <f aca="false">G31+H31</f>
        <v>10000</v>
      </c>
      <c r="K31" s="129" t="s">
        <v>231</v>
      </c>
      <c r="L31" s="130" t="n">
        <v>45900</v>
      </c>
      <c r="M31" s="130" t="str">
        <f aca="false">"Year " &amp; TEXT(YEAR(L31) - 2023, "0")</f>
        <v>Year 2</v>
      </c>
      <c r="N31" s="130" t="str">
        <f aca="false">_xlfn.IFS(O31&lt;90%,"Low",AND(O31&gt;=90%,O31&lt;=110%),"Medium", O31&gt;110%,"High")</f>
        <v>Low</v>
      </c>
      <c r="O31" s="131" t="n">
        <f aca="false">VLOOKUP(TEXT(L31,"mmmm"),Seasonality_Table_Gulf,2,0)</f>
        <v>0.75</v>
      </c>
      <c r="P31" s="132" t="n">
        <f aca="false">INDEX(Baseline_Income_Projections,MATCH(K$2,'Country Sales &amp; Assumptions'!$G$13:$G$20,0),MATCH(Sales_Saudi_Arabia[[#This Row],[Year]],'Country Sales &amp; Assumptions'!$G$13:$L$13,0))*O31</f>
        <v>109588.9215</v>
      </c>
      <c r="Q31" s="132" t="n">
        <f aca="false">+P31*0.06</f>
        <v>6575.33529</v>
      </c>
      <c r="R31" s="132" t="n">
        <f aca="false">IF(Q31&lt;10000,10000-Q31,0)</f>
        <v>3424.66471</v>
      </c>
      <c r="S31" s="133" t="n">
        <f aca="false">Q31+R31</f>
        <v>10000</v>
      </c>
      <c r="U31" s="134" t="s">
        <v>231</v>
      </c>
      <c r="V31" s="130" t="n">
        <v>45900</v>
      </c>
      <c r="W31" s="130" t="str">
        <f aca="false">"Year " &amp; TEXT(YEAR(V31) - 2023, "0")</f>
        <v>Year 2</v>
      </c>
      <c r="X31" s="130" t="str">
        <f aca="false">_xlfn.IFS(Y31&lt;90%,"Low",AND(Y31&gt;=90%,Y31&lt;=110%),"Medium", Y31&gt;110%,"High")</f>
        <v>Low</v>
      </c>
      <c r="Y31" s="131" t="n">
        <f aca="false">VLOOKUP(TEXT(V31,"mmmm"),Seasonality_Table_Gulf,2,0)</f>
        <v>0.75</v>
      </c>
      <c r="Z31" s="132" t="n">
        <f aca="false">INDEX(Baseline_Income_Projections,MATCH(U$2,'Country Sales &amp; Assumptions'!$G$13:$G$20,0),MATCH(Sales_Saudi_Arabia[[#This Row],[Year]],'Country Sales &amp; Assumptions'!$G$13:$L$13,0))*Y31</f>
        <v>116133.436125</v>
      </c>
      <c r="AA31" s="132" t="n">
        <f aca="false">+Z31*0.06</f>
        <v>6968.0061675</v>
      </c>
      <c r="AB31" s="132" t="n">
        <f aca="false">IF(AA31&lt;10000,10000-AA31,0)</f>
        <v>3031.9938325</v>
      </c>
      <c r="AC31" s="132" t="n">
        <f aca="false">AA31+AB31</f>
        <v>10000</v>
      </c>
      <c r="AE31" s="134" t="s">
        <v>231</v>
      </c>
      <c r="AF31" s="130" t="n">
        <v>45900</v>
      </c>
      <c r="AG31" s="130" t="str">
        <f aca="false">"Year " &amp; TEXT(YEAR(AF31) - 2023, "0")</f>
        <v>Year 2</v>
      </c>
      <c r="AH31" s="130" t="str">
        <f aca="false">_xlfn.IFS(AI31&lt;90%,"Low",AND(AI31&gt;=90%,AI31&lt;=110%),"Medium", AI31&gt;110%,"High")</f>
        <v>Low</v>
      </c>
      <c r="AI31" s="131" t="n">
        <f aca="false">VLOOKUP(TEXT(AF31,"mmmm"),Seasonality_Table_Gulf,2,0)</f>
        <v>0.75</v>
      </c>
      <c r="AJ31" s="132" t="n">
        <f aca="false">INDEX(Baseline_Income_Projections,MATCH(AE$2,'Country Sales &amp; Assumptions'!$G$13:$G$20,0),MATCH(Sales_Saudi_Arabia[[#This Row],[Year]],'Country Sales &amp; Assumptions'!$G$13:$L$13,0))*AI31</f>
        <v>101040.8685825</v>
      </c>
      <c r="AK31" s="132" t="n">
        <f aca="false">+AJ31*0.06</f>
        <v>6062.45211495</v>
      </c>
      <c r="AL31" s="132" t="n">
        <f aca="false">IF(AK31&lt;10000,10000-AK31,0)</f>
        <v>3937.54788505</v>
      </c>
      <c r="AM31" s="132" t="n">
        <f aca="false">AK31+AL31</f>
        <v>10000</v>
      </c>
      <c r="AO31" s="134" t="s">
        <v>231</v>
      </c>
      <c r="AP31" s="130" t="n">
        <v>45900</v>
      </c>
      <c r="AQ31" s="130" t="str">
        <f aca="false">"Year " &amp; TEXT(YEAR(AP31) - 2023, "0")</f>
        <v>Year 2</v>
      </c>
      <c r="AR31" s="130" t="str">
        <f aca="false">_xlfn.IFS(AS31&lt;90%,"Low",AND(AS31&gt;=90%,AS31&lt;=110%),"Medium", AS31&gt;110%,"High")</f>
        <v>Medium</v>
      </c>
      <c r="AS31" s="131" t="n">
        <f aca="false">VLOOKUP(TEXT(AP31,"mmmm"),Seasonality_Table_Mediterranean,2,0)</f>
        <v>0.9</v>
      </c>
      <c r="AT31" s="132" t="n">
        <f aca="false">INDEX(Baseline_Income_Projections,MATCH(AO$2,'Country Sales &amp; Assumptions'!$G$13:$G$20,0),MATCH(Sales_Saudi_Arabia[[#This Row],[Year]],'Country Sales &amp; Assumptions'!$G$13:$L$13,0))*AS31</f>
        <v>110153.215494945</v>
      </c>
      <c r="AU31" s="132" t="n">
        <f aca="false">+AT31*0.06</f>
        <v>6609.1929296967</v>
      </c>
      <c r="AV31" s="132" t="n">
        <f aca="false">IF(AU31&lt;10000,10000-AU31,0)</f>
        <v>3390.8070703033</v>
      </c>
      <c r="AW31" s="132" t="n">
        <f aca="false">AU31+AV31</f>
        <v>10000</v>
      </c>
      <c r="AY31" s="134" t="s">
        <v>231</v>
      </c>
      <c r="AZ31" s="130" t="n">
        <v>45900</v>
      </c>
      <c r="BA31" s="130" t="str">
        <f aca="false">"Year " &amp; TEXT(YEAR(AZ31) - 2023, "0")</f>
        <v>Year 2</v>
      </c>
      <c r="BB31" s="130" t="str">
        <f aca="false">_xlfn.IFS(BC31&lt;90%,"Low",AND(BC31&gt;=90%,BC31&lt;=110%),"Medium", BC31&gt;110%,"High")</f>
        <v>Medium</v>
      </c>
      <c r="BC31" s="131" t="n">
        <f aca="false">VLOOKUP(TEXT(AZ31,"mmmm"),Seasonality_Table_Mediterranean,2,0)</f>
        <v>0.9</v>
      </c>
      <c r="BD31" s="132" t="n">
        <f aca="false">INDEX(Baseline_Income_Projections,MATCH(AY$2,'Country Sales &amp; Assumptions'!$G$13:$G$20,0),MATCH(Sales_Saudi_Arabia[[#This Row],[Year]],'Country Sales &amp; Assumptions'!$G$13:$L$13,0))*BC31</f>
        <v>99549.4798083798</v>
      </c>
      <c r="BE31" s="132" t="n">
        <f aca="false">+BD31*0.06</f>
        <v>5972.96878850279</v>
      </c>
      <c r="BF31" s="132" t="n">
        <f aca="false">IF(BE31&lt;10000,10000-BE31,0)</f>
        <v>4027.03121149721</v>
      </c>
      <c r="BG31" s="132" t="n">
        <f aca="false">BE31+BF31</f>
        <v>10000</v>
      </c>
      <c r="BI31" s="134" t="s">
        <v>231</v>
      </c>
      <c r="BJ31" s="130" t="n">
        <v>45900</v>
      </c>
      <c r="BK31" s="130" t="str">
        <f aca="false">"Year " &amp; TEXT(YEAR(BJ31) - 2023, "0")</f>
        <v>Year 2</v>
      </c>
      <c r="BL31" s="130" t="str">
        <f aca="false">_xlfn.IFS(BM31&lt;90%,"Low",AND(BM31&gt;=90%,BM31&lt;=110%),"Medium", BM31&gt;110%,"High")</f>
        <v>Medium</v>
      </c>
      <c r="BM31" s="131" t="n">
        <f aca="false">VLOOKUP(TEXT(BJ31,"mmmm"),Seasonality_Table_Mediterranean,2,0)</f>
        <v>0.9</v>
      </c>
      <c r="BN31" s="132" t="n">
        <f aca="false">INDEX(Baseline_Income_Projections,MATCH(BI$2,'Country Sales &amp; Assumptions'!$G$13:$G$20,0),MATCH(Sales_Saudi_Arabia[[#This Row],[Year]],'Country Sales &amp; Assumptions'!$G$13:$L$13,0))*BM31</f>
        <v>111058.66304064</v>
      </c>
      <c r="BO31" s="132" t="n">
        <f aca="false">+BN31*0.06</f>
        <v>6663.5197824384</v>
      </c>
      <c r="BP31" s="132" t="n">
        <f aca="false">IF(BO31&lt;10000,10000-BO31,0)</f>
        <v>3336.4802175616</v>
      </c>
      <c r="BQ31" s="132" t="n">
        <f aca="false">BO31+BP31</f>
        <v>10000</v>
      </c>
    </row>
    <row r="32" customFormat="false" ht="11.25" hidden="false" customHeight="true" outlineLevel="0" collapsed="false">
      <c r="A32" s="134" t="s">
        <v>231</v>
      </c>
      <c r="B32" s="130" t="n">
        <v>45930</v>
      </c>
      <c r="C32" s="130" t="str">
        <f aca="false">"Year " &amp; TEXT(YEAR(B32) - 2023, "0")</f>
        <v>Year 2</v>
      </c>
      <c r="D32" s="130" t="str">
        <f aca="false">_xlfn.IFS(E32&lt;90%,"Low",AND(E32&gt;=90%,E32&lt;=110%),"Medium", E32&gt;110%,"High")</f>
        <v>Medium</v>
      </c>
      <c r="E32" s="131" t="n">
        <f aca="false">VLOOKUP(TEXT(B32,"mmmm"),Seasonality_Table_Gulf,2,0)</f>
        <v>1</v>
      </c>
      <c r="F32" s="132" t="n">
        <f aca="false">INDEX(Baseline_Income_Projections,MATCH("Saudi Arabia",'Country Sales &amp; Assumptions'!$G$13:$G$20,0),MATCH(Sales_Saudi_Arabia[[#This Row],[Year]],'Country Sales &amp; Assumptions'!$G$13:$L$13,0))*E32</f>
        <v>114699.69</v>
      </c>
      <c r="G32" s="132" t="n">
        <f aca="false">+F32*0.06</f>
        <v>6881.9814</v>
      </c>
      <c r="H32" s="132" t="n">
        <f aca="false">IF(G32&lt;10000,10000-G32,0)</f>
        <v>3118.0186</v>
      </c>
      <c r="I32" s="132" t="n">
        <f aca="false">G32+H32</f>
        <v>10000</v>
      </c>
      <c r="K32" s="129" t="s">
        <v>231</v>
      </c>
      <c r="L32" s="130" t="n">
        <v>45930</v>
      </c>
      <c r="M32" s="130" t="str">
        <f aca="false">"Year " &amp; TEXT(YEAR(L32) - 2023, "0")</f>
        <v>Year 2</v>
      </c>
      <c r="N32" s="130" t="str">
        <f aca="false">_xlfn.IFS(O32&lt;90%,"Low",AND(O32&gt;=90%,O32&lt;=110%),"Medium", O32&gt;110%,"High")</f>
        <v>Medium</v>
      </c>
      <c r="O32" s="131" t="n">
        <f aca="false">VLOOKUP(TEXT(L32,"mmmm"),Seasonality_Table_Gulf,2,0)</f>
        <v>1</v>
      </c>
      <c r="P32" s="132" t="n">
        <f aca="false">INDEX(Baseline_Income_Projections,MATCH(K$2,'Country Sales &amp; Assumptions'!$G$13:$G$20,0),MATCH(Sales_Saudi_Arabia[[#This Row],[Year]],'Country Sales &amp; Assumptions'!$G$13:$L$13,0))*O32</f>
        <v>146118.562</v>
      </c>
      <c r="Q32" s="132" t="n">
        <f aca="false">+P32*0.06</f>
        <v>8767.11372</v>
      </c>
      <c r="R32" s="132" t="n">
        <f aca="false">IF(Q32&lt;10000,10000-Q32,0)</f>
        <v>1232.88628</v>
      </c>
      <c r="S32" s="133" t="n">
        <f aca="false">Q32+R32</f>
        <v>10000</v>
      </c>
      <c r="U32" s="134" t="s">
        <v>231</v>
      </c>
      <c r="V32" s="130" t="n">
        <v>45930</v>
      </c>
      <c r="W32" s="130" t="str">
        <f aca="false">"Year " &amp; TEXT(YEAR(V32) - 2023, "0")</f>
        <v>Year 2</v>
      </c>
      <c r="X32" s="130" t="str">
        <f aca="false">_xlfn.IFS(Y32&lt;90%,"Low",AND(Y32&gt;=90%,Y32&lt;=110%),"Medium", Y32&gt;110%,"High")</f>
        <v>Medium</v>
      </c>
      <c r="Y32" s="131" t="n">
        <f aca="false">VLOOKUP(TEXT(V32,"mmmm"),Seasonality_Table_Gulf,2,0)</f>
        <v>1</v>
      </c>
      <c r="Z32" s="132" t="n">
        <f aca="false">INDEX(Baseline_Income_Projections,MATCH(U$2,'Country Sales &amp; Assumptions'!$G$13:$G$20,0),MATCH(Sales_Saudi_Arabia[[#This Row],[Year]],'Country Sales &amp; Assumptions'!$G$13:$L$13,0))*Y32</f>
        <v>154844.5815</v>
      </c>
      <c r="AA32" s="132" t="n">
        <f aca="false">+Z32*0.06</f>
        <v>9290.67489</v>
      </c>
      <c r="AB32" s="132" t="n">
        <f aca="false">IF(AA32&lt;10000,10000-AA32,0)</f>
        <v>709.32511</v>
      </c>
      <c r="AC32" s="132" t="n">
        <f aca="false">AA32+AB32</f>
        <v>10000</v>
      </c>
      <c r="AE32" s="134" t="s">
        <v>231</v>
      </c>
      <c r="AF32" s="130" t="n">
        <v>45930</v>
      </c>
      <c r="AG32" s="130" t="str">
        <f aca="false">"Year " &amp; TEXT(YEAR(AF32) - 2023, "0")</f>
        <v>Year 2</v>
      </c>
      <c r="AH32" s="130" t="str">
        <f aca="false">_xlfn.IFS(AI32&lt;90%,"Low",AND(AI32&gt;=90%,AI32&lt;=110%),"Medium", AI32&gt;110%,"High")</f>
        <v>Medium</v>
      </c>
      <c r="AI32" s="131" t="n">
        <f aca="false">VLOOKUP(TEXT(AF32,"mmmm"),Seasonality_Table_Gulf,2,0)</f>
        <v>1</v>
      </c>
      <c r="AJ32" s="132" t="n">
        <f aca="false">INDEX(Baseline_Income_Projections,MATCH(AE$2,'Country Sales &amp; Assumptions'!$G$13:$G$20,0),MATCH(Sales_Saudi_Arabia[[#This Row],[Year]],'Country Sales &amp; Assumptions'!$G$13:$L$13,0))*AI32</f>
        <v>134721.15811</v>
      </c>
      <c r="AK32" s="132" t="n">
        <f aca="false">+AJ32*0.06</f>
        <v>8083.2694866</v>
      </c>
      <c r="AL32" s="132" t="n">
        <f aca="false">IF(AK32&lt;10000,10000-AK32,0)</f>
        <v>1916.7305134</v>
      </c>
      <c r="AM32" s="132" t="n">
        <f aca="false">AK32+AL32</f>
        <v>10000</v>
      </c>
      <c r="AO32" s="134" t="s">
        <v>231</v>
      </c>
      <c r="AP32" s="130" t="n">
        <v>45930</v>
      </c>
      <c r="AQ32" s="130" t="str">
        <f aca="false">"Year " &amp; TEXT(YEAR(AP32) - 2023, "0")</f>
        <v>Year 2</v>
      </c>
      <c r="AR32" s="130" t="str">
        <f aca="false">_xlfn.IFS(AS32&lt;90%,"Low",AND(AS32&gt;=90%,AS32&lt;=110%),"Medium", AS32&gt;110%,"High")</f>
        <v>Medium</v>
      </c>
      <c r="AS32" s="131" t="n">
        <f aca="false">VLOOKUP(TEXT(AP32,"mmmm"),Seasonality_Table_Mediterranean,2,0)</f>
        <v>1.1</v>
      </c>
      <c r="AT32" s="132" t="n">
        <f aca="false">INDEX(Baseline_Income_Projections,MATCH(AO$2,'Country Sales &amp; Assumptions'!$G$13:$G$20,0),MATCH(Sales_Saudi_Arabia[[#This Row],[Year]],'Country Sales &amp; Assumptions'!$G$13:$L$13,0))*AS32</f>
        <v>134631.707827155</v>
      </c>
      <c r="AU32" s="132" t="n">
        <f aca="false">+AT32*0.06</f>
        <v>8077.9024696293</v>
      </c>
      <c r="AV32" s="132" t="n">
        <f aca="false">IF(AU32&lt;10000,10000-AU32,0)</f>
        <v>1922.0975303707</v>
      </c>
      <c r="AW32" s="132" t="n">
        <f aca="false">AU32+AV32</f>
        <v>10000</v>
      </c>
      <c r="AY32" s="134" t="s">
        <v>231</v>
      </c>
      <c r="AZ32" s="130" t="n">
        <v>45930</v>
      </c>
      <c r="BA32" s="130" t="str">
        <f aca="false">"Year " &amp; TEXT(YEAR(AZ32) - 2023, "0")</f>
        <v>Year 2</v>
      </c>
      <c r="BB32" s="130" t="str">
        <f aca="false">_xlfn.IFS(BC32&lt;90%,"Low",AND(BC32&gt;=90%,BC32&lt;=110%),"Medium", BC32&gt;110%,"High")</f>
        <v>Medium</v>
      </c>
      <c r="BC32" s="131" t="n">
        <f aca="false">VLOOKUP(TEXT(AZ32,"mmmm"),Seasonality_Table_Mediterranean,2,0)</f>
        <v>1.1</v>
      </c>
      <c r="BD32" s="132" t="n">
        <f aca="false">INDEX(Baseline_Income_Projections,MATCH(AY$2,'Country Sales &amp; Assumptions'!$G$13:$G$20,0),MATCH(Sales_Saudi_Arabia[[#This Row],[Year]],'Country Sales &amp; Assumptions'!$G$13:$L$13,0))*BC32</f>
        <v>121671.586432464</v>
      </c>
      <c r="BE32" s="132" t="n">
        <f aca="false">+BD32*0.06</f>
        <v>7300.29518594785</v>
      </c>
      <c r="BF32" s="132" t="n">
        <f aca="false">IF(BE32&lt;10000,10000-BE32,0)</f>
        <v>2699.70481405215</v>
      </c>
      <c r="BG32" s="132" t="n">
        <f aca="false">BE32+BF32</f>
        <v>10000</v>
      </c>
      <c r="BI32" s="134" t="s">
        <v>231</v>
      </c>
      <c r="BJ32" s="130" t="n">
        <v>45930</v>
      </c>
      <c r="BK32" s="130" t="str">
        <f aca="false">"Year " &amp; TEXT(YEAR(BJ32) - 2023, "0")</f>
        <v>Year 2</v>
      </c>
      <c r="BL32" s="130" t="str">
        <f aca="false">_xlfn.IFS(BM32&lt;90%,"Low",AND(BM32&gt;=90%,BM32&lt;=110%),"Medium", BM32&gt;110%,"High")</f>
        <v>Medium</v>
      </c>
      <c r="BM32" s="131" t="n">
        <f aca="false">VLOOKUP(TEXT(BJ32,"mmmm"),Seasonality_Table_Mediterranean,2,0)</f>
        <v>1.1</v>
      </c>
      <c r="BN32" s="132" t="n">
        <f aca="false">INDEX(Baseline_Income_Projections,MATCH(BI$2,'Country Sales &amp; Assumptions'!$G$13:$G$20,0),MATCH(Sales_Saudi_Arabia[[#This Row],[Year]],'Country Sales &amp; Assumptions'!$G$13:$L$13,0))*BM32</f>
        <v>135738.36593856</v>
      </c>
      <c r="BO32" s="132" t="n">
        <f aca="false">+BN32*0.06</f>
        <v>8144.3019563136</v>
      </c>
      <c r="BP32" s="132" t="n">
        <f aca="false">IF(BO32&lt;10000,10000-BO32,0)</f>
        <v>1855.6980436864</v>
      </c>
      <c r="BQ32" s="132" t="n">
        <f aca="false">BO32+BP32</f>
        <v>10000</v>
      </c>
    </row>
    <row r="33" customFormat="false" ht="11.25" hidden="false" customHeight="true" outlineLevel="0" collapsed="false">
      <c r="A33" s="134" t="s">
        <v>231</v>
      </c>
      <c r="B33" s="130" t="n">
        <v>45961</v>
      </c>
      <c r="C33" s="130" t="str">
        <f aca="false">"Year " &amp; TEXT(YEAR(B33) - 2023, "0")</f>
        <v>Year 2</v>
      </c>
      <c r="D33" s="130" t="str">
        <f aca="false">_xlfn.IFS(E33&lt;90%,"Low",AND(E33&gt;=90%,E33&lt;=110%),"Medium", E33&gt;110%,"High")</f>
        <v>Medium</v>
      </c>
      <c r="E33" s="131" t="n">
        <f aca="false">VLOOKUP(TEXT(B33,"mmmm"),Seasonality_Table_Gulf,2,0)</f>
        <v>1.1</v>
      </c>
      <c r="F33" s="132" t="n">
        <f aca="false">INDEX(Baseline_Income_Projections,MATCH("Saudi Arabia",'Country Sales &amp; Assumptions'!$G$13:$G$20,0),MATCH(Sales_Saudi_Arabia[[#This Row],[Year]],'Country Sales &amp; Assumptions'!$G$13:$L$13,0))*E33</f>
        <v>126169.659</v>
      </c>
      <c r="G33" s="132" t="n">
        <f aca="false">+F33*0.06</f>
        <v>7570.17954</v>
      </c>
      <c r="H33" s="132" t="n">
        <f aca="false">IF(G33&lt;10000,10000-G33,0)</f>
        <v>2429.82046</v>
      </c>
      <c r="I33" s="132" t="n">
        <f aca="false">G33+H33</f>
        <v>10000</v>
      </c>
      <c r="K33" s="129" t="s">
        <v>231</v>
      </c>
      <c r="L33" s="130" t="n">
        <v>45961</v>
      </c>
      <c r="M33" s="130" t="str">
        <f aca="false">"Year " &amp; TEXT(YEAR(L33) - 2023, "0")</f>
        <v>Year 2</v>
      </c>
      <c r="N33" s="130" t="str">
        <f aca="false">_xlfn.IFS(O33&lt;90%,"Low",AND(O33&gt;=90%,O33&lt;=110%),"Medium", O33&gt;110%,"High")</f>
        <v>Medium</v>
      </c>
      <c r="O33" s="131" t="n">
        <f aca="false">VLOOKUP(TEXT(L33,"mmmm"),Seasonality_Table_Gulf,2,0)</f>
        <v>1.1</v>
      </c>
      <c r="P33" s="132" t="n">
        <f aca="false">INDEX(Baseline_Income_Projections,MATCH(K$2,'Country Sales &amp; Assumptions'!$G$13:$G$20,0),MATCH(Sales_Saudi_Arabia[[#This Row],[Year]],'Country Sales &amp; Assumptions'!$G$13:$L$13,0))*O33</f>
        <v>160730.4182</v>
      </c>
      <c r="Q33" s="132" t="n">
        <f aca="false">+P33*0.06</f>
        <v>9643.825092</v>
      </c>
      <c r="R33" s="132" t="n">
        <f aca="false">IF(Q33&lt;10000,10000-Q33,0)</f>
        <v>356.174907999999</v>
      </c>
      <c r="S33" s="133" t="n">
        <f aca="false">Q33+R33</f>
        <v>10000</v>
      </c>
      <c r="U33" s="134" t="s">
        <v>231</v>
      </c>
      <c r="V33" s="130" t="n">
        <v>45961</v>
      </c>
      <c r="W33" s="130" t="str">
        <f aca="false">"Year " &amp; TEXT(YEAR(V33) - 2023, "0")</f>
        <v>Year 2</v>
      </c>
      <c r="X33" s="130" t="str">
        <f aca="false">_xlfn.IFS(Y33&lt;90%,"Low",AND(Y33&gt;=90%,Y33&lt;=110%),"Medium", Y33&gt;110%,"High")</f>
        <v>Medium</v>
      </c>
      <c r="Y33" s="131" t="n">
        <f aca="false">VLOOKUP(TEXT(V33,"mmmm"),Seasonality_Table_Gulf,2,0)</f>
        <v>1.1</v>
      </c>
      <c r="Z33" s="132" t="n">
        <f aca="false">INDEX(Baseline_Income_Projections,MATCH(U$2,'Country Sales &amp; Assumptions'!$G$13:$G$20,0),MATCH(Sales_Saudi_Arabia[[#This Row],[Year]],'Country Sales &amp; Assumptions'!$G$13:$L$13,0))*Y33</f>
        <v>170329.03965</v>
      </c>
      <c r="AA33" s="132" t="n">
        <f aca="false">+Z33*0.06</f>
        <v>10219.742379</v>
      </c>
      <c r="AB33" s="132" t="n">
        <f aca="false">IF(AA33&lt;10000,10000-AA33,0)</f>
        <v>0</v>
      </c>
      <c r="AC33" s="132" t="n">
        <f aca="false">AA33+AB33</f>
        <v>10219.742379</v>
      </c>
      <c r="AE33" s="134" t="s">
        <v>231</v>
      </c>
      <c r="AF33" s="130" t="n">
        <v>45961</v>
      </c>
      <c r="AG33" s="130" t="str">
        <f aca="false">"Year " &amp; TEXT(YEAR(AF33) - 2023, "0")</f>
        <v>Year 2</v>
      </c>
      <c r="AH33" s="130" t="str">
        <f aca="false">_xlfn.IFS(AI33&lt;90%,"Low",AND(AI33&gt;=90%,AI33&lt;=110%),"Medium", AI33&gt;110%,"High")</f>
        <v>Medium</v>
      </c>
      <c r="AI33" s="131" t="n">
        <f aca="false">VLOOKUP(TEXT(AF33,"mmmm"),Seasonality_Table_Gulf,2,0)</f>
        <v>1.1</v>
      </c>
      <c r="AJ33" s="132" t="n">
        <f aca="false">INDEX(Baseline_Income_Projections,MATCH(AE$2,'Country Sales &amp; Assumptions'!$G$13:$G$20,0),MATCH(Sales_Saudi_Arabia[[#This Row],[Year]],'Country Sales &amp; Assumptions'!$G$13:$L$13,0))*AI33</f>
        <v>148193.273921</v>
      </c>
      <c r="AK33" s="132" t="n">
        <f aca="false">+AJ33*0.06</f>
        <v>8891.59643526</v>
      </c>
      <c r="AL33" s="132" t="n">
        <f aca="false">IF(AK33&lt;10000,10000-AK33,0)</f>
        <v>1108.40356474</v>
      </c>
      <c r="AM33" s="132" t="n">
        <f aca="false">AK33+AL33</f>
        <v>10000</v>
      </c>
      <c r="AO33" s="134" t="s">
        <v>231</v>
      </c>
      <c r="AP33" s="130" t="n">
        <v>45961</v>
      </c>
      <c r="AQ33" s="130" t="str">
        <f aca="false">"Year " &amp; TEXT(YEAR(AP33) - 2023, "0")</f>
        <v>Year 2</v>
      </c>
      <c r="AR33" s="130" t="str">
        <f aca="false">_xlfn.IFS(AS33&lt;90%,"Low",AND(AS33&gt;=90%,AS33&lt;=110%),"Medium", AS33&gt;110%,"High")</f>
        <v>High</v>
      </c>
      <c r="AS33" s="131" t="n">
        <f aca="false">VLOOKUP(TEXT(AP33,"mmmm"),Seasonality_Table_Mediterranean,2,0)</f>
        <v>1.2</v>
      </c>
      <c r="AT33" s="132" t="n">
        <f aca="false">INDEX(Baseline_Income_Projections,MATCH(AO$2,'Country Sales &amp; Assumptions'!$G$13:$G$20,0),MATCH(Sales_Saudi_Arabia[[#This Row],[Year]],'Country Sales &amp; Assumptions'!$G$13:$L$13,0))*AS33</f>
        <v>146870.95399326</v>
      </c>
      <c r="AU33" s="132" t="n">
        <f aca="false">+AT33*0.06</f>
        <v>8812.2572395956</v>
      </c>
      <c r="AV33" s="132" t="n">
        <f aca="false">IF(AU33&lt;10000,10000-AU33,0)</f>
        <v>1187.7427604044</v>
      </c>
      <c r="AW33" s="132" t="n">
        <f aca="false">AU33+AV33</f>
        <v>10000</v>
      </c>
      <c r="AY33" s="134" t="s">
        <v>231</v>
      </c>
      <c r="AZ33" s="130" t="n">
        <v>45961</v>
      </c>
      <c r="BA33" s="130" t="str">
        <f aca="false">"Year " &amp; TEXT(YEAR(AZ33) - 2023, "0")</f>
        <v>Year 2</v>
      </c>
      <c r="BB33" s="130" t="str">
        <f aca="false">_xlfn.IFS(BC33&lt;90%,"Low",AND(BC33&gt;=90%,BC33&lt;=110%),"Medium", BC33&gt;110%,"High")</f>
        <v>High</v>
      </c>
      <c r="BC33" s="131" t="n">
        <f aca="false">VLOOKUP(TEXT(AZ33,"mmmm"),Seasonality_Table_Mediterranean,2,0)</f>
        <v>1.2</v>
      </c>
      <c r="BD33" s="132" t="n">
        <f aca="false">INDEX(Baseline_Income_Projections,MATCH(AY$2,'Country Sales &amp; Assumptions'!$G$13:$G$20,0),MATCH(Sales_Saudi_Arabia[[#This Row],[Year]],'Country Sales &amp; Assumptions'!$G$13:$L$13,0))*BC33</f>
        <v>132732.639744506</v>
      </c>
      <c r="BE33" s="132" t="n">
        <f aca="false">+BD33*0.06</f>
        <v>7963.95838467039</v>
      </c>
      <c r="BF33" s="132" t="n">
        <f aca="false">IF(BE33&lt;10000,10000-BE33,0)</f>
        <v>2036.04161532961</v>
      </c>
      <c r="BG33" s="132" t="n">
        <f aca="false">BE33+BF33</f>
        <v>10000</v>
      </c>
      <c r="BI33" s="134" t="s">
        <v>231</v>
      </c>
      <c r="BJ33" s="130" t="n">
        <v>45961</v>
      </c>
      <c r="BK33" s="130" t="str">
        <f aca="false">"Year " &amp; TEXT(YEAR(BJ33) - 2023, "0")</f>
        <v>Year 2</v>
      </c>
      <c r="BL33" s="130" t="str">
        <f aca="false">_xlfn.IFS(BM33&lt;90%,"Low",AND(BM33&gt;=90%,BM33&lt;=110%),"Medium", BM33&gt;110%,"High")</f>
        <v>High</v>
      </c>
      <c r="BM33" s="131" t="n">
        <f aca="false">VLOOKUP(TEXT(BJ33,"mmmm"),Seasonality_Table_Mediterranean,2,0)</f>
        <v>1.2</v>
      </c>
      <c r="BN33" s="132" t="n">
        <f aca="false">INDEX(Baseline_Income_Projections,MATCH(BI$2,'Country Sales &amp; Assumptions'!$G$13:$G$20,0),MATCH(Sales_Saudi_Arabia[[#This Row],[Year]],'Country Sales &amp; Assumptions'!$G$13:$L$13,0))*BM33</f>
        <v>148078.21738752</v>
      </c>
      <c r="BO33" s="132" t="n">
        <f aca="false">+BN33*0.06</f>
        <v>8884.6930432512</v>
      </c>
      <c r="BP33" s="132" t="n">
        <f aca="false">IF(BO33&lt;10000,10000-BO33,0)</f>
        <v>1115.3069567488</v>
      </c>
      <c r="BQ33" s="132" t="n">
        <f aca="false">BO33+BP33</f>
        <v>10000</v>
      </c>
    </row>
    <row r="34" customFormat="false" ht="11.25" hidden="false" customHeight="true" outlineLevel="0" collapsed="false">
      <c r="A34" s="134" t="s">
        <v>231</v>
      </c>
      <c r="B34" s="130" t="n">
        <v>45991</v>
      </c>
      <c r="C34" s="130" t="str">
        <f aca="false">"Year " &amp; TEXT(YEAR(B34) - 2023, "0")</f>
        <v>Year 2</v>
      </c>
      <c r="D34" s="130" t="str">
        <f aca="false">_xlfn.IFS(E34&lt;90%,"Low",AND(E34&gt;=90%,E34&lt;=110%),"Medium", E34&gt;110%,"High")</f>
        <v>High</v>
      </c>
      <c r="E34" s="131" t="n">
        <f aca="false">VLOOKUP(TEXT(B34,"mmmm"),Seasonality_Table_Gulf,2,0)</f>
        <v>1.2</v>
      </c>
      <c r="F34" s="132" t="n">
        <f aca="false">INDEX(Baseline_Income_Projections,MATCH("Saudi Arabia",'Country Sales &amp; Assumptions'!$G$13:$G$20,0),MATCH(Sales_Saudi_Arabia[[#This Row],[Year]],'Country Sales &amp; Assumptions'!$G$13:$L$13,0))*E34</f>
        <v>137639.628</v>
      </c>
      <c r="G34" s="132" t="n">
        <f aca="false">+F34*0.06</f>
        <v>8258.37768</v>
      </c>
      <c r="H34" s="132" t="n">
        <f aca="false">IF(G34&lt;10000,10000-G34,0)</f>
        <v>1741.62232</v>
      </c>
      <c r="I34" s="132" t="n">
        <f aca="false">G34+H34</f>
        <v>10000</v>
      </c>
      <c r="K34" s="129" t="s">
        <v>231</v>
      </c>
      <c r="L34" s="130" t="n">
        <v>45991</v>
      </c>
      <c r="M34" s="130" t="str">
        <f aca="false">"Year " &amp; TEXT(YEAR(L34) - 2023, "0")</f>
        <v>Year 2</v>
      </c>
      <c r="N34" s="130" t="str">
        <f aca="false">_xlfn.IFS(O34&lt;90%,"Low",AND(O34&gt;=90%,O34&lt;=110%),"Medium", O34&gt;110%,"High")</f>
        <v>High</v>
      </c>
      <c r="O34" s="131" t="n">
        <f aca="false">VLOOKUP(TEXT(L34,"mmmm"),Seasonality_Table_Gulf,2,0)</f>
        <v>1.2</v>
      </c>
      <c r="P34" s="132" t="n">
        <f aca="false">INDEX(Baseline_Income_Projections,MATCH(K$2,'Country Sales &amp; Assumptions'!$G$13:$G$20,0),MATCH(Sales_Saudi_Arabia[[#This Row],[Year]],'Country Sales &amp; Assumptions'!$G$13:$L$13,0))*O34</f>
        <v>175342.2744</v>
      </c>
      <c r="Q34" s="132" t="n">
        <f aca="false">+P34*0.06</f>
        <v>10520.536464</v>
      </c>
      <c r="R34" s="132" t="n">
        <f aca="false">IF(Q34&lt;10000,10000-Q34,0)</f>
        <v>0</v>
      </c>
      <c r="S34" s="133" t="n">
        <f aca="false">Q34+R34</f>
        <v>10520.536464</v>
      </c>
      <c r="U34" s="134" t="s">
        <v>231</v>
      </c>
      <c r="V34" s="130" t="n">
        <v>45991</v>
      </c>
      <c r="W34" s="130" t="str">
        <f aca="false">"Year " &amp; TEXT(YEAR(V34) - 2023, "0")</f>
        <v>Year 2</v>
      </c>
      <c r="X34" s="130" t="str">
        <f aca="false">_xlfn.IFS(Y34&lt;90%,"Low",AND(Y34&gt;=90%,Y34&lt;=110%),"Medium", Y34&gt;110%,"High")</f>
        <v>High</v>
      </c>
      <c r="Y34" s="131" t="n">
        <f aca="false">VLOOKUP(TEXT(V34,"mmmm"),Seasonality_Table_Gulf,2,0)</f>
        <v>1.2</v>
      </c>
      <c r="Z34" s="132" t="n">
        <f aca="false">INDEX(Baseline_Income_Projections,MATCH(U$2,'Country Sales &amp; Assumptions'!$G$13:$G$20,0),MATCH(Sales_Saudi_Arabia[[#This Row],[Year]],'Country Sales &amp; Assumptions'!$G$13:$L$13,0))*Y34</f>
        <v>185813.4978</v>
      </c>
      <c r="AA34" s="132" t="n">
        <f aca="false">+Z34*0.06</f>
        <v>11148.809868</v>
      </c>
      <c r="AB34" s="132" t="n">
        <f aca="false">IF(AA34&lt;10000,10000-AA34,0)</f>
        <v>0</v>
      </c>
      <c r="AC34" s="132" t="n">
        <f aca="false">AA34+AB34</f>
        <v>11148.809868</v>
      </c>
      <c r="AE34" s="134" t="s">
        <v>231</v>
      </c>
      <c r="AF34" s="130" t="n">
        <v>45991</v>
      </c>
      <c r="AG34" s="130" t="str">
        <f aca="false">"Year " &amp; TEXT(YEAR(AF34) - 2023, "0")</f>
        <v>Year 2</v>
      </c>
      <c r="AH34" s="130" t="str">
        <f aca="false">_xlfn.IFS(AI34&lt;90%,"Low",AND(AI34&gt;=90%,AI34&lt;=110%),"Medium", AI34&gt;110%,"High")</f>
        <v>High</v>
      </c>
      <c r="AI34" s="131" t="n">
        <f aca="false">VLOOKUP(TEXT(AF34,"mmmm"),Seasonality_Table_Gulf,2,0)</f>
        <v>1.2</v>
      </c>
      <c r="AJ34" s="132" t="n">
        <f aca="false">INDEX(Baseline_Income_Projections,MATCH(AE$2,'Country Sales &amp; Assumptions'!$G$13:$G$20,0),MATCH(Sales_Saudi_Arabia[[#This Row],[Year]],'Country Sales &amp; Assumptions'!$G$13:$L$13,0))*AI34</f>
        <v>161665.389732</v>
      </c>
      <c r="AK34" s="132" t="n">
        <f aca="false">+AJ34*0.06</f>
        <v>9699.92338392</v>
      </c>
      <c r="AL34" s="132" t="n">
        <f aca="false">IF(AK34&lt;10000,10000-AK34,0)</f>
        <v>300.076616080001</v>
      </c>
      <c r="AM34" s="132" t="n">
        <f aca="false">AK34+AL34</f>
        <v>10000</v>
      </c>
      <c r="AO34" s="134" t="s">
        <v>231</v>
      </c>
      <c r="AP34" s="130" t="n">
        <v>45991</v>
      </c>
      <c r="AQ34" s="130" t="str">
        <f aca="false">"Year " &amp; TEXT(YEAR(AP34) - 2023, "0")</f>
        <v>Year 2</v>
      </c>
      <c r="AR34" s="130" t="str">
        <f aca="false">_xlfn.IFS(AS34&lt;90%,"Low",AND(AS34&gt;=90%,AS34&lt;=110%),"Medium", AS34&gt;110%,"High")</f>
        <v>Medium</v>
      </c>
      <c r="AS34" s="131" t="n">
        <f aca="false">VLOOKUP(TEXT(AP34,"mmmm"),Seasonality_Table_Mediterranean,2,0)</f>
        <v>1</v>
      </c>
      <c r="AT34" s="132" t="n">
        <f aca="false">INDEX(Baseline_Income_Projections,MATCH(AO$2,'Country Sales &amp; Assumptions'!$G$13:$G$20,0),MATCH(Sales_Saudi_Arabia[[#This Row],[Year]],'Country Sales &amp; Assumptions'!$G$13:$L$13,0))*AS34</f>
        <v>122392.46166105</v>
      </c>
      <c r="AU34" s="132" t="n">
        <f aca="false">+AT34*0.06</f>
        <v>7343.547699663</v>
      </c>
      <c r="AV34" s="132" t="n">
        <f aca="false">IF(AU34&lt;10000,10000-AU34,0)</f>
        <v>2656.452300337</v>
      </c>
      <c r="AW34" s="132" t="n">
        <f aca="false">AU34+AV34</f>
        <v>10000</v>
      </c>
      <c r="AY34" s="134" t="s">
        <v>231</v>
      </c>
      <c r="AZ34" s="130" t="n">
        <v>45991</v>
      </c>
      <c r="BA34" s="130" t="str">
        <f aca="false">"Year " &amp; TEXT(YEAR(AZ34) - 2023, "0")</f>
        <v>Year 2</v>
      </c>
      <c r="BB34" s="130" t="str">
        <f aca="false">_xlfn.IFS(BC34&lt;90%,"Low",AND(BC34&gt;=90%,BC34&lt;=110%),"Medium", BC34&gt;110%,"High")</f>
        <v>Medium</v>
      </c>
      <c r="BC34" s="131" t="n">
        <f aca="false">VLOOKUP(TEXT(AZ34,"mmmm"),Seasonality_Table_Mediterranean,2,0)</f>
        <v>1</v>
      </c>
      <c r="BD34" s="132" t="n">
        <f aca="false">INDEX(Baseline_Income_Projections,MATCH(AY$2,'Country Sales &amp; Assumptions'!$G$13:$G$20,0),MATCH(Sales_Saudi_Arabia[[#This Row],[Year]],'Country Sales &amp; Assumptions'!$G$13:$L$13,0))*BC34</f>
        <v>110610.533120422</v>
      </c>
      <c r="BE34" s="132" t="n">
        <f aca="false">+BD34*0.06</f>
        <v>6636.63198722532</v>
      </c>
      <c r="BF34" s="132" t="n">
        <f aca="false">IF(BE34&lt;10000,10000-BE34,0)</f>
        <v>3363.36801277468</v>
      </c>
      <c r="BG34" s="132" t="n">
        <f aca="false">BE34+BF34</f>
        <v>10000</v>
      </c>
      <c r="BI34" s="134" t="s">
        <v>231</v>
      </c>
      <c r="BJ34" s="130" t="n">
        <v>45991</v>
      </c>
      <c r="BK34" s="130" t="str">
        <f aca="false">"Year " &amp; TEXT(YEAR(BJ34) - 2023, "0")</f>
        <v>Year 2</v>
      </c>
      <c r="BL34" s="130" t="str">
        <f aca="false">_xlfn.IFS(BM34&lt;90%,"Low",AND(BM34&gt;=90%,BM34&lt;=110%),"Medium", BM34&gt;110%,"High")</f>
        <v>Medium</v>
      </c>
      <c r="BM34" s="131" t="n">
        <f aca="false">VLOOKUP(TEXT(BJ34,"mmmm"),Seasonality_Table_Mediterranean,2,0)</f>
        <v>1</v>
      </c>
      <c r="BN34" s="132" t="n">
        <f aca="false">INDEX(Baseline_Income_Projections,MATCH(BI$2,'Country Sales &amp; Assumptions'!$G$13:$G$20,0),MATCH(Sales_Saudi_Arabia[[#This Row],[Year]],'Country Sales &amp; Assumptions'!$G$13:$L$13,0))*BM34</f>
        <v>123398.5144896</v>
      </c>
      <c r="BO34" s="132" t="n">
        <f aca="false">+BN34*0.06</f>
        <v>7403.910869376</v>
      </c>
      <c r="BP34" s="132" t="n">
        <f aca="false">IF(BO34&lt;10000,10000-BO34,0)</f>
        <v>2596.089130624</v>
      </c>
      <c r="BQ34" s="132" t="n">
        <f aca="false">BO34+BP34</f>
        <v>10000</v>
      </c>
    </row>
    <row r="35" customFormat="false" ht="11.25" hidden="false" customHeight="true" outlineLevel="0" collapsed="false">
      <c r="A35" s="134" t="s">
        <v>231</v>
      </c>
      <c r="B35" s="130" t="n">
        <v>46022</v>
      </c>
      <c r="C35" s="130" t="str">
        <f aca="false">"Year " &amp; TEXT(YEAR(B35) - 2023, "0")</f>
        <v>Year 2</v>
      </c>
      <c r="D35" s="130" t="str">
        <f aca="false">_xlfn.IFS(E35&lt;90%,"Low",AND(E35&gt;=90%,E35&lt;=110%),"Medium", E35&gt;110%,"High")</f>
        <v>High</v>
      </c>
      <c r="E35" s="131" t="n">
        <f aca="false">VLOOKUP(TEXT(B35,"mmmm"),Seasonality_Table_Gulf,2,0)</f>
        <v>1.3</v>
      </c>
      <c r="F35" s="132" t="n">
        <f aca="false">INDEX(Baseline_Income_Projections,MATCH("Saudi Arabia",'Country Sales &amp; Assumptions'!$G$13:$G$20,0),MATCH(Sales_Saudi_Arabia[[#This Row],[Year]],'Country Sales &amp; Assumptions'!$G$13:$L$13,0))*E35</f>
        <v>149109.597</v>
      </c>
      <c r="G35" s="132" t="n">
        <f aca="false">+F35*0.06</f>
        <v>8946.57582</v>
      </c>
      <c r="H35" s="132" t="n">
        <f aca="false">IF(G35&lt;10000,10000-G35,0)</f>
        <v>1053.42418</v>
      </c>
      <c r="I35" s="132" t="n">
        <f aca="false">G35+H35</f>
        <v>10000</v>
      </c>
      <c r="K35" s="129" t="s">
        <v>231</v>
      </c>
      <c r="L35" s="130" t="n">
        <v>46022</v>
      </c>
      <c r="M35" s="130" t="str">
        <f aca="false">"Year " &amp; TEXT(YEAR(L35) - 2023, "0")</f>
        <v>Year 2</v>
      </c>
      <c r="N35" s="130" t="str">
        <f aca="false">_xlfn.IFS(O35&lt;90%,"Low",AND(O35&gt;=90%,O35&lt;=110%),"Medium", O35&gt;110%,"High")</f>
        <v>High</v>
      </c>
      <c r="O35" s="131" t="n">
        <f aca="false">VLOOKUP(TEXT(L35,"mmmm"),Seasonality_Table_Gulf,2,0)</f>
        <v>1.3</v>
      </c>
      <c r="P35" s="132" t="n">
        <f aca="false">INDEX(Baseline_Income_Projections,MATCH(K$2,'Country Sales &amp; Assumptions'!$G$13:$G$20,0),MATCH(Sales_Saudi_Arabia[[#This Row],[Year]],'Country Sales &amp; Assumptions'!$G$13:$L$13,0))*O35</f>
        <v>189954.1306</v>
      </c>
      <c r="Q35" s="132" t="n">
        <f aca="false">+P35*0.06</f>
        <v>11397.247836</v>
      </c>
      <c r="R35" s="132" t="n">
        <f aca="false">IF(Q35&lt;10000,10000-Q35,0)</f>
        <v>0</v>
      </c>
      <c r="S35" s="133" t="n">
        <f aca="false">Q35+R35</f>
        <v>11397.247836</v>
      </c>
      <c r="U35" s="134" t="s">
        <v>231</v>
      </c>
      <c r="V35" s="130" t="n">
        <v>46022</v>
      </c>
      <c r="W35" s="130" t="str">
        <f aca="false">"Year " &amp; TEXT(YEAR(V35) - 2023, "0")</f>
        <v>Year 2</v>
      </c>
      <c r="X35" s="130" t="str">
        <f aca="false">_xlfn.IFS(Y35&lt;90%,"Low",AND(Y35&gt;=90%,Y35&lt;=110%),"Medium", Y35&gt;110%,"High")</f>
        <v>High</v>
      </c>
      <c r="Y35" s="131" t="n">
        <f aca="false">VLOOKUP(TEXT(V35,"mmmm"),Seasonality_Table_Gulf,2,0)</f>
        <v>1.3</v>
      </c>
      <c r="Z35" s="132" t="n">
        <f aca="false">INDEX(Baseline_Income_Projections,MATCH(U$2,'Country Sales &amp; Assumptions'!$G$13:$G$20,0),MATCH(Sales_Saudi_Arabia[[#This Row],[Year]],'Country Sales &amp; Assumptions'!$G$13:$L$13,0))*Y35</f>
        <v>201297.95595</v>
      </c>
      <c r="AA35" s="132" t="n">
        <f aca="false">+Z35*0.06</f>
        <v>12077.877357</v>
      </c>
      <c r="AB35" s="132" t="n">
        <f aca="false">IF(AA35&lt;10000,10000-AA35,0)</f>
        <v>0</v>
      </c>
      <c r="AC35" s="132" t="n">
        <f aca="false">AA35+AB35</f>
        <v>12077.877357</v>
      </c>
      <c r="AE35" s="134" t="s">
        <v>231</v>
      </c>
      <c r="AF35" s="130" t="n">
        <v>46022</v>
      </c>
      <c r="AG35" s="130" t="str">
        <f aca="false">"Year " &amp; TEXT(YEAR(AF35) - 2023, "0")</f>
        <v>Year 2</v>
      </c>
      <c r="AH35" s="130" t="str">
        <f aca="false">_xlfn.IFS(AI35&lt;90%,"Low",AND(AI35&gt;=90%,AI35&lt;=110%),"Medium", AI35&gt;110%,"High")</f>
        <v>High</v>
      </c>
      <c r="AI35" s="131" t="n">
        <f aca="false">VLOOKUP(TEXT(AF35,"mmmm"),Seasonality_Table_Gulf,2,0)</f>
        <v>1.3</v>
      </c>
      <c r="AJ35" s="132" t="n">
        <f aca="false">INDEX(Baseline_Income_Projections,MATCH(AE$2,'Country Sales &amp; Assumptions'!$G$13:$G$20,0),MATCH(Sales_Saudi_Arabia[[#This Row],[Year]],'Country Sales &amp; Assumptions'!$G$13:$L$13,0))*AI35</f>
        <v>175137.505543</v>
      </c>
      <c r="AK35" s="132" t="n">
        <f aca="false">+AJ35*0.06</f>
        <v>10508.25033258</v>
      </c>
      <c r="AL35" s="132" t="n">
        <f aca="false">IF(AK35&lt;10000,10000-AK35,0)</f>
        <v>0</v>
      </c>
      <c r="AM35" s="132" t="n">
        <f aca="false">AK35+AL35</f>
        <v>10508.25033258</v>
      </c>
      <c r="AO35" s="134" t="s">
        <v>231</v>
      </c>
      <c r="AP35" s="130" t="n">
        <v>46022</v>
      </c>
      <c r="AQ35" s="130" t="str">
        <f aca="false">"Year " &amp; TEXT(YEAR(AP35) - 2023, "0")</f>
        <v>Year 2</v>
      </c>
      <c r="AR35" s="130" t="str">
        <f aca="false">_xlfn.IFS(AS35&lt;90%,"Low",AND(AS35&gt;=90%,AS35&lt;=110%),"Medium", AS35&gt;110%,"High")</f>
        <v>High</v>
      </c>
      <c r="AS35" s="131" t="n">
        <f aca="false">VLOOKUP(TEXT(AP35,"mmmm"),Seasonality_Table_Mediterranean,2,0)</f>
        <v>1.2</v>
      </c>
      <c r="AT35" s="132" t="n">
        <f aca="false">INDEX(Baseline_Income_Projections,MATCH(AO$2,'Country Sales &amp; Assumptions'!$G$13:$G$20,0),MATCH(Sales_Saudi_Arabia[[#This Row],[Year]],'Country Sales &amp; Assumptions'!$G$13:$L$13,0))*AS35</f>
        <v>146870.95399326</v>
      </c>
      <c r="AU35" s="132" t="n">
        <f aca="false">+AT35*0.06</f>
        <v>8812.2572395956</v>
      </c>
      <c r="AV35" s="132" t="n">
        <f aca="false">IF(AU35&lt;10000,10000-AU35,0)</f>
        <v>1187.7427604044</v>
      </c>
      <c r="AW35" s="132" t="n">
        <f aca="false">AU35+AV35</f>
        <v>10000</v>
      </c>
      <c r="AY35" s="134" t="s">
        <v>231</v>
      </c>
      <c r="AZ35" s="130" t="n">
        <v>46022</v>
      </c>
      <c r="BA35" s="130" t="str">
        <f aca="false">"Year " &amp; TEXT(YEAR(AZ35) - 2023, "0")</f>
        <v>Year 2</v>
      </c>
      <c r="BB35" s="130" t="str">
        <f aca="false">_xlfn.IFS(BC35&lt;90%,"Low",AND(BC35&gt;=90%,BC35&lt;=110%),"Medium", BC35&gt;110%,"High")</f>
        <v>High</v>
      </c>
      <c r="BC35" s="131" t="n">
        <f aca="false">VLOOKUP(TEXT(AZ35,"mmmm"),Seasonality_Table_Mediterranean,2,0)</f>
        <v>1.2</v>
      </c>
      <c r="BD35" s="132" t="n">
        <f aca="false">INDEX(Baseline_Income_Projections,MATCH(AY$2,'Country Sales &amp; Assumptions'!$G$13:$G$20,0),MATCH(Sales_Saudi_Arabia[[#This Row],[Year]],'Country Sales &amp; Assumptions'!$G$13:$L$13,0))*BC35</f>
        <v>132732.639744506</v>
      </c>
      <c r="BE35" s="132" t="n">
        <f aca="false">+BD35*0.06</f>
        <v>7963.95838467039</v>
      </c>
      <c r="BF35" s="132" t="n">
        <f aca="false">IF(BE35&lt;10000,10000-BE35,0)</f>
        <v>2036.04161532961</v>
      </c>
      <c r="BG35" s="132" t="n">
        <f aca="false">BE35+BF35</f>
        <v>10000</v>
      </c>
      <c r="BI35" s="134" t="s">
        <v>231</v>
      </c>
      <c r="BJ35" s="130" t="n">
        <v>46022</v>
      </c>
      <c r="BK35" s="130" t="str">
        <f aca="false">"Year " &amp; TEXT(YEAR(BJ35) - 2023, "0")</f>
        <v>Year 2</v>
      </c>
      <c r="BL35" s="130" t="str">
        <f aca="false">_xlfn.IFS(BM35&lt;90%,"Low",AND(BM35&gt;=90%,BM35&lt;=110%),"Medium", BM35&gt;110%,"High")</f>
        <v>High</v>
      </c>
      <c r="BM35" s="131" t="n">
        <f aca="false">VLOOKUP(TEXT(BJ35,"mmmm"),Seasonality_Table_Mediterranean,2,0)</f>
        <v>1.2</v>
      </c>
      <c r="BN35" s="132" t="n">
        <f aca="false">INDEX(Baseline_Income_Projections,MATCH(BI$2,'Country Sales &amp; Assumptions'!$G$13:$G$20,0),MATCH(Sales_Saudi_Arabia[[#This Row],[Year]],'Country Sales &amp; Assumptions'!$G$13:$L$13,0))*BM35</f>
        <v>148078.21738752</v>
      </c>
      <c r="BO35" s="132" t="n">
        <f aca="false">+BN35*0.06</f>
        <v>8884.6930432512</v>
      </c>
      <c r="BP35" s="132" t="n">
        <f aca="false">IF(BO35&lt;10000,10000-BO35,0)</f>
        <v>1115.3069567488</v>
      </c>
      <c r="BQ35" s="132" t="n">
        <f aca="false">BO35+BP35</f>
        <v>10000</v>
      </c>
    </row>
    <row r="36" customFormat="false" ht="11.25" hidden="false" customHeight="true" outlineLevel="0" collapsed="false">
      <c r="A36" s="134" t="s">
        <v>231</v>
      </c>
      <c r="B36" s="130" t="n">
        <v>46053</v>
      </c>
      <c r="C36" s="130" t="str">
        <f aca="false">"Year " &amp; TEXT(YEAR(B36) - 2023, "0")</f>
        <v>Year 3</v>
      </c>
      <c r="D36" s="130" t="str">
        <f aca="false">_xlfn.IFS(E36&lt;90%,"Low",AND(E36&gt;=90%,E36&lt;=110%),"Medium", E36&gt;110%,"High")</f>
        <v>High</v>
      </c>
      <c r="E36" s="131" t="n">
        <f aca="false">VLOOKUP(TEXT(B36,"mmmm"),Seasonality_Table_Gulf,2,0)</f>
        <v>1.2</v>
      </c>
      <c r="F36" s="132" t="n">
        <f aca="false">INDEX(Baseline_Income_Projections,MATCH("Saudi Arabia",'Country Sales &amp; Assumptions'!$G$13:$G$20,0),MATCH(Sales_Saudi_Arabia[[#This Row],[Year]],'Country Sales &amp; Assumptions'!$G$13:$L$13,0))*E36</f>
        <v>144521.6094</v>
      </c>
      <c r="G36" s="132" t="n">
        <f aca="false">+F36*0.06</f>
        <v>8671.296564</v>
      </c>
      <c r="H36" s="132" t="n">
        <f aca="false">IF(G36&lt;10000,10000-G36,0)</f>
        <v>1328.703436</v>
      </c>
      <c r="I36" s="132" t="n">
        <f aca="false">G36+H36</f>
        <v>10000</v>
      </c>
      <c r="K36" s="129" t="s">
        <v>231</v>
      </c>
      <c r="L36" s="130" t="n">
        <v>46053</v>
      </c>
      <c r="M36" s="130" t="str">
        <f aca="false">"Year " &amp; TEXT(YEAR(L36) - 2023, "0")</f>
        <v>Year 3</v>
      </c>
      <c r="N36" s="130" t="str">
        <f aca="false">_xlfn.IFS(O36&lt;90%,"Low",AND(O36&gt;=90%,O36&lt;=110%),"Medium", O36&gt;110%,"High")</f>
        <v>High</v>
      </c>
      <c r="O36" s="131" t="n">
        <f aca="false">VLOOKUP(TEXT(L36,"mmmm"),Seasonality_Table_Gulf,2,0)</f>
        <v>1.2</v>
      </c>
      <c r="P36" s="132" t="n">
        <f aca="false">INDEX(Baseline_Income_Projections,MATCH(K$2,'Country Sales &amp; Assumptions'!$G$13:$G$20,0),MATCH(Sales_Saudi_Arabia[[#This Row],[Year]],'Country Sales &amp; Assumptions'!$G$13:$L$13,0))*O36</f>
        <v>185862.810864</v>
      </c>
      <c r="Q36" s="132" t="n">
        <f aca="false">+P36*0.06</f>
        <v>11151.76865184</v>
      </c>
      <c r="R36" s="132" t="n">
        <f aca="false">IF(Q36&lt;10000,10000-Q36,0)</f>
        <v>0</v>
      </c>
      <c r="S36" s="133" t="n">
        <f aca="false">Q36+R36</f>
        <v>11151.76865184</v>
      </c>
      <c r="U36" s="134" t="s">
        <v>231</v>
      </c>
      <c r="V36" s="130" t="n">
        <v>46053</v>
      </c>
      <c r="W36" s="130" t="str">
        <f aca="false">"Year " &amp; TEXT(YEAR(V36) - 2023, "0")</f>
        <v>Year 3</v>
      </c>
      <c r="X36" s="130" t="str">
        <f aca="false">_xlfn.IFS(Y36&lt;90%,"Low",AND(Y36&gt;=90%,Y36&lt;=110%),"Medium", Y36&gt;110%,"High")</f>
        <v>High</v>
      </c>
      <c r="Y36" s="131" t="n">
        <f aca="false">VLOOKUP(TEXT(V36,"mmmm"),Seasonality_Table_Gulf,2,0)</f>
        <v>1.2</v>
      </c>
      <c r="Z36" s="132" t="n">
        <f aca="false">INDEX(Baseline_Income_Projections,MATCH(U$2,'Country Sales &amp; Assumptions'!$G$13:$G$20,0),MATCH(Sales_Saudi_Arabia[[#This Row],[Year]],'Country Sales &amp; Assumptions'!$G$13:$L$13,0))*Y36</f>
        <v>195104.17269</v>
      </c>
      <c r="AA36" s="132" t="n">
        <f aca="false">+Z36*0.06</f>
        <v>11706.2503614</v>
      </c>
      <c r="AB36" s="132" t="n">
        <f aca="false">IF(AA36&lt;10000,10000-AA36,0)</f>
        <v>0</v>
      </c>
      <c r="AC36" s="132" t="n">
        <f aca="false">AA36+AB36</f>
        <v>11706.2503614</v>
      </c>
      <c r="AE36" s="134" t="s">
        <v>231</v>
      </c>
      <c r="AF36" s="130" t="n">
        <v>46053</v>
      </c>
      <c r="AG36" s="130" t="str">
        <f aca="false">"Year " &amp; TEXT(YEAR(AF36) - 2023, "0")</f>
        <v>Year 3</v>
      </c>
      <c r="AH36" s="130" t="str">
        <f aca="false">_xlfn.IFS(AI36&lt;90%,"Low",AND(AI36&gt;=90%,AI36&lt;=110%),"Medium", AI36&gt;110%,"High")</f>
        <v>High</v>
      </c>
      <c r="AI36" s="131" t="n">
        <f aca="false">VLOOKUP(TEXT(AF36,"mmmm"),Seasonality_Table_Gulf,2,0)</f>
        <v>1.2</v>
      </c>
      <c r="AJ36" s="132" t="n">
        <f aca="false">INDEX(Baseline_Income_Projections,MATCH(AE$2,'Country Sales &amp; Assumptions'!$G$13:$G$20,0),MATCH(Sales_Saudi_Arabia[[#This Row],[Year]],'Country Sales &amp; Assumptions'!$G$13:$L$13,0))*AI36</f>
        <v>175406.94785922</v>
      </c>
      <c r="AK36" s="132" t="n">
        <f aca="false">+AJ36*0.06</f>
        <v>10524.4168715532</v>
      </c>
      <c r="AL36" s="132" t="n">
        <f aca="false">IF(AK36&lt;10000,10000-AK36,0)</f>
        <v>0</v>
      </c>
      <c r="AM36" s="132" t="n">
        <f aca="false">AK36+AL36</f>
        <v>10524.4168715532</v>
      </c>
      <c r="AO36" s="134" t="s">
        <v>231</v>
      </c>
      <c r="AP36" s="130" t="n">
        <v>46053</v>
      </c>
      <c r="AQ36" s="130" t="str">
        <f aca="false">"Year " &amp; TEXT(YEAR(AP36) - 2023, "0")</f>
        <v>Year 3</v>
      </c>
      <c r="AR36" s="130" t="str">
        <f aca="false">_xlfn.IFS(AS36&lt;90%,"Low",AND(AS36&gt;=90%,AS36&lt;=110%),"Medium", AS36&gt;110%,"High")</f>
        <v>Medium</v>
      </c>
      <c r="AS36" s="131" t="n">
        <f aca="false">VLOOKUP(TEXT(AP36,"mmmm"),Seasonality_Table_Mediterranean,2,0)</f>
        <v>1.1</v>
      </c>
      <c r="AT36" s="132" t="n">
        <f aca="false">INDEX(Baseline_Income_Projections,MATCH(AO$2,'Country Sales &amp; Assumptions'!$G$13:$G$20,0),MATCH(Sales_Saudi_Arabia[[#This Row],[Year]],'Country Sales &amp; Assumptions'!$G$13:$L$13,0))*AS36</f>
        <v>142507.662735044</v>
      </c>
      <c r="AU36" s="132" t="n">
        <f aca="false">+AT36*0.06</f>
        <v>8550.45976410262</v>
      </c>
      <c r="AV36" s="132" t="n">
        <f aca="false">IF(AU36&lt;10000,10000-AU36,0)</f>
        <v>1449.54023589738</v>
      </c>
      <c r="AW36" s="132" t="n">
        <f aca="false">AU36+AV36</f>
        <v>10000</v>
      </c>
      <c r="AY36" s="134" t="s">
        <v>231</v>
      </c>
      <c r="AZ36" s="130" t="n">
        <v>46053</v>
      </c>
      <c r="BA36" s="130" t="str">
        <f aca="false">"Year " &amp; TEXT(YEAR(AZ36) - 2023, "0")</f>
        <v>Year 3</v>
      </c>
      <c r="BB36" s="130" t="str">
        <f aca="false">_xlfn.IFS(BC36&lt;90%,"Low",AND(BC36&gt;=90%,BC36&lt;=110%),"Medium", BC36&gt;110%,"High")</f>
        <v>Medium</v>
      </c>
      <c r="BC36" s="131" t="n">
        <f aca="false">VLOOKUP(TEXT(AZ36,"mmmm"),Seasonality_Table_Mediterranean,2,0)</f>
        <v>1.1</v>
      </c>
      <c r="BD36" s="132" t="n">
        <f aca="false">INDEX(Baseline_Income_Projections,MATCH(AY$2,'Country Sales &amp; Assumptions'!$G$13:$G$20,0),MATCH(Sales_Saudi_Arabia[[#This Row],[Year]],'Country Sales &amp; Assumptions'!$G$13:$L$13,0))*BC36</f>
        <v>128716.371286904</v>
      </c>
      <c r="BE36" s="132" t="n">
        <f aca="false">+BD36*0.06</f>
        <v>7722.98227721423</v>
      </c>
      <c r="BF36" s="132" t="n">
        <f aca="false">IF(BE36&lt;10000,10000-BE36,0)</f>
        <v>2277.01772278577</v>
      </c>
      <c r="BG36" s="132" t="n">
        <f aca="false">BE36+BF36</f>
        <v>10000</v>
      </c>
      <c r="BI36" s="134" t="s">
        <v>231</v>
      </c>
      <c r="BJ36" s="130" t="n">
        <v>46053</v>
      </c>
      <c r="BK36" s="130" t="str">
        <f aca="false">"Year " &amp; TEXT(YEAR(BJ36) - 2023, "0")</f>
        <v>Year 3</v>
      </c>
      <c r="BL36" s="130" t="str">
        <f aca="false">_xlfn.IFS(BM36&lt;90%,"Low",AND(BM36&gt;=90%,BM36&lt;=110%),"Medium", BM36&gt;110%,"High")</f>
        <v>Medium</v>
      </c>
      <c r="BM36" s="131" t="n">
        <f aca="false">VLOOKUP(TEXT(BJ36,"mmmm"),Seasonality_Table_Mediterranean,2,0)</f>
        <v>1.1</v>
      </c>
      <c r="BN36" s="132" t="n">
        <f aca="false">INDEX(Baseline_Income_Projections,MATCH(BI$2,'Country Sales &amp; Assumptions'!$G$13:$G$20,0),MATCH(Sales_Saudi_Arabia[[#This Row],[Year]],'Country Sales &amp; Assumptions'!$G$13:$L$13,0))*BM36</f>
        <v>155827.644097467</v>
      </c>
      <c r="BO36" s="132" t="n">
        <f aca="false">+BN36*0.06</f>
        <v>9349.65864584801</v>
      </c>
      <c r="BP36" s="132" t="n">
        <f aca="false">IF(BO36&lt;10000,10000-BO36,0)</f>
        <v>650.341354151986</v>
      </c>
      <c r="BQ36" s="132" t="n">
        <f aca="false">BO36+BP36</f>
        <v>10000</v>
      </c>
    </row>
    <row r="37" customFormat="false" ht="11.25" hidden="false" customHeight="true" outlineLevel="0" collapsed="false">
      <c r="A37" s="134" t="s">
        <v>231</v>
      </c>
      <c r="B37" s="130" t="n">
        <v>46081</v>
      </c>
      <c r="C37" s="130" t="str">
        <f aca="false">"Year " &amp; TEXT(YEAR(B37) - 2023, "0")</f>
        <v>Year 3</v>
      </c>
      <c r="D37" s="130" t="str">
        <f aca="false">_xlfn.IFS(E37&lt;90%,"Low",AND(E37&gt;=90%,E37&lt;=110%),"Medium", E37&gt;110%,"High")</f>
        <v>Medium</v>
      </c>
      <c r="E37" s="131" t="n">
        <f aca="false">VLOOKUP(TEXT(B37,"mmmm"),Seasonality_Table_Gulf,2,0)</f>
        <v>1.1</v>
      </c>
      <c r="F37" s="132" t="n">
        <f aca="false">INDEX(Baseline_Income_Projections,MATCH("Saudi Arabia",'Country Sales &amp; Assumptions'!$G$13:$G$20,0),MATCH(Sales_Saudi_Arabia[[#This Row],[Year]],'Country Sales &amp; Assumptions'!$G$13:$L$13,0))*E37</f>
        <v>132478.14195</v>
      </c>
      <c r="G37" s="132" t="n">
        <f aca="false">+F37*0.06</f>
        <v>7948.688517</v>
      </c>
      <c r="H37" s="132" t="n">
        <f aca="false">IF(G37&lt;10000,10000-G37,0)</f>
        <v>2051.311483</v>
      </c>
      <c r="I37" s="132" t="n">
        <f aca="false">G37+H37</f>
        <v>10000</v>
      </c>
      <c r="K37" s="129" t="s">
        <v>231</v>
      </c>
      <c r="L37" s="130" t="n">
        <v>46081</v>
      </c>
      <c r="M37" s="130" t="str">
        <f aca="false">"Year " &amp; TEXT(YEAR(L37) - 2023, "0")</f>
        <v>Year 3</v>
      </c>
      <c r="N37" s="130" t="str">
        <f aca="false">_xlfn.IFS(O37&lt;90%,"Low",AND(O37&gt;=90%,O37&lt;=110%),"Medium", O37&gt;110%,"High")</f>
        <v>Medium</v>
      </c>
      <c r="O37" s="131" t="n">
        <f aca="false">VLOOKUP(TEXT(L37,"mmmm"),Seasonality_Table_Gulf,2,0)</f>
        <v>1.1</v>
      </c>
      <c r="P37" s="132" t="n">
        <f aca="false">INDEX(Baseline_Income_Projections,MATCH(K$2,'Country Sales &amp; Assumptions'!$G$13:$G$20,0),MATCH(Sales_Saudi_Arabia[[#This Row],[Year]],'Country Sales &amp; Assumptions'!$G$13:$L$13,0))*O37</f>
        <v>170374.243292</v>
      </c>
      <c r="Q37" s="132" t="n">
        <f aca="false">+P37*0.06</f>
        <v>10222.45459752</v>
      </c>
      <c r="R37" s="132" t="n">
        <f aca="false">IF(Q37&lt;10000,10000-Q37,0)</f>
        <v>0</v>
      </c>
      <c r="S37" s="133" t="n">
        <f aca="false">Q37+R37</f>
        <v>10222.45459752</v>
      </c>
      <c r="U37" s="134" t="s">
        <v>231</v>
      </c>
      <c r="V37" s="130" t="n">
        <v>46081</v>
      </c>
      <c r="W37" s="130" t="str">
        <f aca="false">"Year " &amp; TEXT(YEAR(V37) - 2023, "0")</f>
        <v>Year 3</v>
      </c>
      <c r="X37" s="130" t="str">
        <f aca="false">_xlfn.IFS(Y37&lt;90%,"Low",AND(Y37&gt;=90%,Y37&lt;=110%),"Medium", Y37&gt;110%,"High")</f>
        <v>Medium</v>
      </c>
      <c r="Y37" s="131" t="n">
        <f aca="false">VLOOKUP(TEXT(V37,"mmmm"),Seasonality_Table_Gulf,2,0)</f>
        <v>1.1</v>
      </c>
      <c r="Z37" s="132" t="n">
        <f aca="false">INDEX(Baseline_Income_Projections,MATCH(U$2,'Country Sales &amp; Assumptions'!$G$13:$G$20,0),MATCH(Sales_Saudi_Arabia[[#This Row],[Year]],'Country Sales &amp; Assumptions'!$G$13:$L$13,0))*Y37</f>
        <v>178845.4916325</v>
      </c>
      <c r="AA37" s="132" t="n">
        <f aca="false">+Z37*0.06</f>
        <v>10730.72949795</v>
      </c>
      <c r="AB37" s="132" t="n">
        <f aca="false">IF(AA37&lt;10000,10000-AA37,0)</f>
        <v>0</v>
      </c>
      <c r="AC37" s="132" t="n">
        <f aca="false">AA37+AB37</f>
        <v>10730.72949795</v>
      </c>
      <c r="AE37" s="134" t="s">
        <v>231</v>
      </c>
      <c r="AF37" s="130" t="n">
        <v>46081</v>
      </c>
      <c r="AG37" s="130" t="str">
        <f aca="false">"Year " &amp; TEXT(YEAR(AF37) - 2023, "0")</f>
        <v>Year 3</v>
      </c>
      <c r="AH37" s="130" t="str">
        <f aca="false">_xlfn.IFS(AI37&lt;90%,"Low",AND(AI37&gt;=90%,AI37&lt;=110%),"Medium", AI37&gt;110%,"High")</f>
        <v>Medium</v>
      </c>
      <c r="AI37" s="131" t="n">
        <f aca="false">VLOOKUP(TEXT(AF37,"mmmm"),Seasonality_Table_Gulf,2,0)</f>
        <v>1.1</v>
      </c>
      <c r="AJ37" s="132" t="n">
        <f aca="false">INDEX(Baseline_Income_Projections,MATCH(AE$2,'Country Sales &amp; Assumptions'!$G$13:$G$20,0),MATCH(Sales_Saudi_Arabia[[#This Row],[Year]],'Country Sales &amp; Assumptions'!$G$13:$L$13,0))*AI37</f>
        <v>160789.702204285</v>
      </c>
      <c r="AK37" s="132" t="n">
        <f aca="false">+AJ37*0.06</f>
        <v>9647.3821322571</v>
      </c>
      <c r="AL37" s="132" t="n">
        <f aca="false">IF(AK37&lt;10000,10000-AK37,0)</f>
        <v>352.6178677429</v>
      </c>
      <c r="AM37" s="132" t="n">
        <f aca="false">AK37+AL37</f>
        <v>10000</v>
      </c>
      <c r="AO37" s="134" t="s">
        <v>231</v>
      </c>
      <c r="AP37" s="130" t="n">
        <v>46081</v>
      </c>
      <c r="AQ37" s="130" t="str">
        <f aca="false">"Year " &amp; TEXT(YEAR(AP37) - 2023, "0")</f>
        <v>Year 3</v>
      </c>
      <c r="AR37" s="130" t="str">
        <f aca="false">_xlfn.IFS(AS37&lt;90%,"Low",AND(AS37&gt;=90%,AS37&lt;=110%),"Medium", AS37&gt;110%,"High")</f>
        <v>Medium</v>
      </c>
      <c r="AS37" s="131" t="n">
        <f aca="false">VLOOKUP(TEXT(AP37,"mmmm"),Seasonality_Table_Mediterranean,2,0)</f>
        <v>1</v>
      </c>
      <c r="AT37" s="132" t="n">
        <f aca="false">INDEX(Baseline_Income_Projections,MATCH(AO$2,'Country Sales &amp; Assumptions'!$G$13:$G$20,0),MATCH(Sales_Saudi_Arabia[[#This Row],[Year]],'Country Sales &amp; Assumptions'!$G$13:$L$13,0))*AS37</f>
        <v>129552.420668221</v>
      </c>
      <c r="AU37" s="132" t="n">
        <f aca="false">+AT37*0.06</f>
        <v>7773.14524009329</v>
      </c>
      <c r="AV37" s="132" t="n">
        <f aca="false">IF(AU37&lt;10000,10000-AU37,0)</f>
        <v>2226.85475990671</v>
      </c>
      <c r="AW37" s="132" t="n">
        <f aca="false">AU37+AV37</f>
        <v>10000</v>
      </c>
      <c r="AY37" s="134" t="s">
        <v>231</v>
      </c>
      <c r="AZ37" s="130" t="n">
        <v>46081</v>
      </c>
      <c r="BA37" s="130" t="str">
        <f aca="false">"Year " &amp; TEXT(YEAR(AZ37) - 2023, "0")</f>
        <v>Year 3</v>
      </c>
      <c r="BB37" s="130" t="str">
        <f aca="false">_xlfn.IFS(BC37&lt;90%,"Low",AND(BC37&gt;=90%,BC37&lt;=110%),"Medium", BC37&gt;110%,"High")</f>
        <v>Medium</v>
      </c>
      <c r="BC37" s="131" t="n">
        <f aca="false">VLOOKUP(TEXT(AZ37,"mmmm"),Seasonality_Table_Mediterranean,2,0)</f>
        <v>1</v>
      </c>
      <c r="BD37" s="132" t="n">
        <f aca="false">INDEX(Baseline_Income_Projections,MATCH(AY$2,'Country Sales &amp; Assumptions'!$G$13:$G$20,0),MATCH(Sales_Saudi_Arabia[[#This Row],[Year]],'Country Sales &amp; Assumptions'!$G$13:$L$13,0))*BC37</f>
        <v>117014.882988094</v>
      </c>
      <c r="BE37" s="132" t="n">
        <f aca="false">+BD37*0.06</f>
        <v>7020.89297928567</v>
      </c>
      <c r="BF37" s="132" t="n">
        <f aca="false">IF(BE37&lt;10000,10000-BE37,0)</f>
        <v>2979.10702071433</v>
      </c>
      <c r="BG37" s="132" t="n">
        <f aca="false">BE37+BF37</f>
        <v>10000</v>
      </c>
      <c r="BI37" s="134" t="s">
        <v>231</v>
      </c>
      <c r="BJ37" s="130" t="n">
        <v>46081</v>
      </c>
      <c r="BK37" s="130" t="str">
        <f aca="false">"Year " &amp; TEXT(YEAR(BJ37) - 2023, "0")</f>
        <v>Year 3</v>
      </c>
      <c r="BL37" s="130" t="str">
        <f aca="false">_xlfn.IFS(BM37&lt;90%,"Low",AND(BM37&gt;=90%,BM37&lt;=110%),"Medium", BM37&gt;110%,"High")</f>
        <v>Medium</v>
      </c>
      <c r="BM37" s="131" t="n">
        <f aca="false">VLOOKUP(TEXT(BJ37,"mmmm"),Seasonality_Table_Mediterranean,2,0)</f>
        <v>1</v>
      </c>
      <c r="BN37" s="132" t="n">
        <f aca="false">INDEX(Baseline_Income_Projections,MATCH(BI$2,'Country Sales &amp; Assumptions'!$G$13:$G$20,0),MATCH(Sales_Saudi_Arabia[[#This Row],[Year]],'Country Sales &amp; Assumptions'!$G$13:$L$13,0))*BM37</f>
        <v>141661.494634061</v>
      </c>
      <c r="BO37" s="132" t="n">
        <f aca="false">+BN37*0.06</f>
        <v>8499.68967804365</v>
      </c>
      <c r="BP37" s="132" t="n">
        <f aca="false">IF(BO37&lt;10000,10000-BO37,0)</f>
        <v>1500.31032195635</v>
      </c>
      <c r="BQ37" s="132" t="n">
        <f aca="false">BO37+BP37</f>
        <v>10000</v>
      </c>
    </row>
    <row r="38" customFormat="false" ht="11.25" hidden="false" customHeight="true" outlineLevel="0" collapsed="false">
      <c r="A38" s="134" t="s">
        <v>231</v>
      </c>
      <c r="B38" s="130" t="n">
        <v>46112</v>
      </c>
      <c r="C38" s="130" t="str">
        <f aca="false">"Year " &amp; TEXT(YEAR(B38) - 2023, "0")</f>
        <v>Year 3</v>
      </c>
      <c r="D38" s="130" t="str">
        <f aca="false">_xlfn.IFS(E38&lt;90%,"Low",AND(E38&gt;=90%,E38&lt;=110%),"Medium", E38&gt;110%,"High")</f>
        <v>Medium</v>
      </c>
      <c r="E38" s="131" t="n">
        <f aca="false">VLOOKUP(TEXT(B38,"mmmm"),Seasonality_Table_Gulf,2,0)</f>
        <v>1.1</v>
      </c>
      <c r="F38" s="132" t="n">
        <f aca="false">INDEX(Baseline_Income_Projections,MATCH("Saudi Arabia",'Country Sales &amp; Assumptions'!$G$13:$G$20,0),MATCH(Sales_Saudi_Arabia[[#This Row],[Year]],'Country Sales &amp; Assumptions'!$G$13:$L$13,0))*E38</f>
        <v>132478.14195</v>
      </c>
      <c r="G38" s="132" t="n">
        <f aca="false">+F38*0.06</f>
        <v>7948.688517</v>
      </c>
      <c r="H38" s="132" t="n">
        <f aca="false">IF(G38&lt;10000,10000-G38,0)</f>
        <v>2051.311483</v>
      </c>
      <c r="I38" s="132" t="n">
        <f aca="false">G38+H38</f>
        <v>10000</v>
      </c>
      <c r="K38" s="129" t="s">
        <v>231</v>
      </c>
      <c r="L38" s="130" t="n">
        <v>46112</v>
      </c>
      <c r="M38" s="130" t="str">
        <f aca="false">"Year " &amp; TEXT(YEAR(L38) - 2023, "0")</f>
        <v>Year 3</v>
      </c>
      <c r="N38" s="130" t="str">
        <f aca="false">_xlfn.IFS(O38&lt;90%,"Low",AND(O38&gt;=90%,O38&lt;=110%),"Medium", O38&gt;110%,"High")</f>
        <v>Medium</v>
      </c>
      <c r="O38" s="131" t="n">
        <f aca="false">VLOOKUP(TEXT(L38,"mmmm"),Seasonality_Table_Gulf,2,0)</f>
        <v>1.1</v>
      </c>
      <c r="P38" s="132" t="n">
        <f aca="false">INDEX(Baseline_Income_Projections,MATCH(K$2,'Country Sales &amp; Assumptions'!$G$13:$G$20,0),MATCH(Sales_Saudi_Arabia[[#This Row],[Year]],'Country Sales &amp; Assumptions'!$G$13:$L$13,0))*O38</f>
        <v>170374.243292</v>
      </c>
      <c r="Q38" s="132" t="n">
        <f aca="false">+P38*0.06</f>
        <v>10222.45459752</v>
      </c>
      <c r="R38" s="132" t="n">
        <f aca="false">IF(Q38&lt;10000,10000-Q38,0)</f>
        <v>0</v>
      </c>
      <c r="S38" s="133" t="n">
        <f aca="false">Q38+R38</f>
        <v>10222.45459752</v>
      </c>
      <c r="U38" s="134" t="s">
        <v>231</v>
      </c>
      <c r="V38" s="130" t="n">
        <v>46112</v>
      </c>
      <c r="W38" s="130" t="str">
        <f aca="false">"Year " &amp; TEXT(YEAR(V38) - 2023, "0")</f>
        <v>Year 3</v>
      </c>
      <c r="X38" s="130" t="str">
        <f aca="false">_xlfn.IFS(Y38&lt;90%,"Low",AND(Y38&gt;=90%,Y38&lt;=110%),"Medium", Y38&gt;110%,"High")</f>
        <v>Medium</v>
      </c>
      <c r="Y38" s="131" t="n">
        <f aca="false">VLOOKUP(TEXT(V38,"mmmm"),Seasonality_Table_Gulf,2,0)</f>
        <v>1.1</v>
      </c>
      <c r="Z38" s="132" t="n">
        <f aca="false">INDEX(Baseline_Income_Projections,MATCH(U$2,'Country Sales &amp; Assumptions'!$G$13:$G$20,0),MATCH(Sales_Saudi_Arabia[[#This Row],[Year]],'Country Sales &amp; Assumptions'!$G$13:$L$13,0))*Y38</f>
        <v>178845.4916325</v>
      </c>
      <c r="AA38" s="132" t="n">
        <f aca="false">+Z38*0.06</f>
        <v>10730.72949795</v>
      </c>
      <c r="AB38" s="132" t="n">
        <f aca="false">IF(AA38&lt;10000,10000-AA38,0)</f>
        <v>0</v>
      </c>
      <c r="AC38" s="132" t="n">
        <f aca="false">AA38+AB38</f>
        <v>10730.72949795</v>
      </c>
      <c r="AE38" s="134" t="s">
        <v>231</v>
      </c>
      <c r="AF38" s="130" t="n">
        <v>46112</v>
      </c>
      <c r="AG38" s="130" t="str">
        <f aca="false">"Year " &amp; TEXT(YEAR(AF38) - 2023, "0")</f>
        <v>Year 3</v>
      </c>
      <c r="AH38" s="130" t="str">
        <f aca="false">_xlfn.IFS(AI38&lt;90%,"Low",AND(AI38&gt;=90%,AI38&lt;=110%),"Medium", AI38&gt;110%,"High")</f>
        <v>Medium</v>
      </c>
      <c r="AI38" s="131" t="n">
        <f aca="false">VLOOKUP(TEXT(AF38,"mmmm"),Seasonality_Table_Gulf,2,0)</f>
        <v>1.1</v>
      </c>
      <c r="AJ38" s="132" t="n">
        <f aca="false">INDEX(Baseline_Income_Projections,MATCH(AE$2,'Country Sales &amp; Assumptions'!$G$13:$G$20,0),MATCH(Sales_Saudi_Arabia[[#This Row],[Year]],'Country Sales &amp; Assumptions'!$G$13:$L$13,0))*AI38</f>
        <v>160789.702204285</v>
      </c>
      <c r="AK38" s="132" t="n">
        <f aca="false">+AJ38*0.06</f>
        <v>9647.3821322571</v>
      </c>
      <c r="AL38" s="132" t="n">
        <f aca="false">IF(AK38&lt;10000,10000-AK38,0)</f>
        <v>352.6178677429</v>
      </c>
      <c r="AM38" s="132" t="n">
        <f aca="false">AK38+AL38</f>
        <v>10000</v>
      </c>
      <c r="AO38" s="134" t="s">
        <v>231</v>
      </c>
      <c r="AP38" s="130" t="n">
        <v>46112</v>
      </c>
      <c r="AQ38" s="130" t="str">
        <f aca="false">"Year " &amp; TEXT(YEAR(AP38) - 2023, "0")</f>
        <v>Year 3</v>
      </c>
      <c r="AR38" s="130" t="str">
        <f aca="false">_xlfn.IFS(AS38&lt;90%,"Low",AND(AS38&gt;=90%,AS38&lt;=110%),"Medium", AS38&gt;110%,"High")</f>
        <v>Medium</v>
      </c>
      <c r="AS38" s="131" t="n">
        <f aca="false">VLOOKUP(TEXT(AP38,"mmmm"),Seasonality_Table_Mediterranean,2,0)</f>
        <v>1.1</v>
      </c>
      <c r="AT38" s="132" t="n">
        <f aca="false">INDEX(Baseline_Income_Projections,MATCH(AO$2,'Country Sales &amp; Assumptions'!$G$13:$G$20,0),MATCH(Sales_Saudi_Arabia[[#This Row],[Year]],'Country Sales &amp; Assumptions'!$G$13:$L$13,0))*AS38</f>
        <v>142507.662735044</v>
      </c>
      <c r="AU38" s="132" t="n">
        <f aca="false">+AT38*0.06</f>
        <v>8550.45976410262</v>
      </c>
      <c r="AV38" s="132" t="n">
        <f aca="false">IF(AU38&lt;10000,10000-AU38,0)</f>
        <v>1449.54023589738</v>
      </c>
      <c r="AW38" s="132" t="n">
        <f aca="false">AU38+AV38</f>
        <v>10000</v>
      </c>
      <c r="AY38" s="134" t="s">
        <v>231</v>
      </c>
      <c r="AZ38" s="130" t="n">
        <v>46112</v>
      </c>
      <c r="BA38" s="130" t="str">
        <f aca="false">"Year " &amp; TEXT(YEAR(AZ38) - 2023, "0")</f>
        <v>Year 3</v>
      </c>
      <c r="BB38" s="130" t="str">
        <f aca="false">_xlfn.IFS(BC38&lt;90%,"Low",AND(BC38&gt;=90%,BC38&lt;=110%),"Medium", BC38&gt;110%,"High")</f>
        <v>Medium</v>
      </c>
      <c r="BC38" s="131" t="n">
        <f aca="false">VLOOKUP(TEXT(AZ38,"mmmm"),Seasonality_Table_Mediterranean,2,0)</f>
        <v>1.1</v>
      </c>
      <c r="BD38" s="132" t="n">
        <f aca="false">INDEX(Baseline_Income_Projections,MATCH(AY$2,'Country Sales &amp; Assumptions'!$G$13:$G$20,0),MATCH(Sales_Saudi_Arabia[[#This Row],[Year]],'Country Sales &amp; Assumptions'!$G$13:$L$13,0))*BC38</f>
        <v>128716.371286904</v>
      </c>
      <c r="BE38" s="132" t="n">
        <f aca="false">+BD38*0.06</f>
        <v>7722.98227721423</v>
      </c>
      <c r="BF38" s="132" t="n">
        <f aca="false">IF(BE38&lt;10000,10000-BE38,0)</f>
        <v>2277.01772278577</v>
      </c>
      <c r="BG38" s="132" t="n">
        <f aca="false">BE38+BF38</f>
        <v>10000</v>
      </c>
      <c r="BI38" s="134" t="s">
        <v>231</v>
      </c>
      <c r="BJ38" s="130" t="n">
        <v>46112</v>
      </c>
      <c r="BK38" s="130" t="str">
        <f aca="false">"Year " &amp; TEXT(YEAR(BJ38) - 2023, "0")</f>
        <v>Year 3</v>
      </c>
      <c r="BL38" s="130" t="str">
        <f aca="false">_xlfn.IFS(BM38&lt;90%,"Low",AND(BM38&gt;=90%,BM38&lt;=110%),"Medium", BM38&gt;110%,"High")</f>
        <v>Medium</v>
      </c>
      <c r="BM38" s="131" t="n">
        <f aca="false">VLOOKUP(TEXT(BJ38,"mmmm"),Seasonality_Table_Mediterranean,2,0)</f>
        <v>1.1</v>
      </c>
      <c r="BN38" s="132" t="n">
        <f aca="false">INDEX(Baseline_Income_Projections,MATCH(BI$2,'Country Sales &amp; Assumptions'!$G$13:$G$20,0),MATCH(Sales_Saudi_Arabia[[#This Row],[Year]],'Country Sales &amp; Assumptions'!$G$13:$L$13,0))*BM38</f>
        <v>155827.644097467</v>
      </c>
      <c r="BO38" s="132" t="n">
        <f aca="false">+BN38*0.06</f>
        <v>9349.65864584801</v>
      </c>
      <c r="BP38" s="132" t="n">
        <f aca="false">IF(BO38&lt;10000,10000-BO38,0)</f>
        <v>650.341354151986</v>
      </c>
      <c r="BQ38" s="132" t="n">
        <f aca="false">BO38+BP38</f>
        <v>10000</v>
      </c>
    </row>
    <row r="39" customFormat="false" ht="11.25" hidden="false" customHeight="true" outlineLevel="0" collapsed="false">
      <c r="A39" s="134" t="s">
        <v>231</v>
      </c>
      <c r="B39" s="130" t="n">
        <v>46142</v>
      </c>
      <c r="C39" s="130" t="str">
        <f aca="false">"Year " &amp; TEXT(YEAR(B39) - 2023, "0")</f>
        <v>Year 3</v>
      </c>
      <c r="D39" s="130" t="str">
        <f aca="false">_xlfn.IFS(E39&lt;90%,"Low",AND(E39&gt;=90%,E39&lt;=110%),"Medium", E39&gt;110%,"High")</f>
        <v>Medium</v>
      </c>
      <c r="E39" s="131" t="n">
        <f aca="false">VLOOKUP(TEXT(B39,"mmmm"),Seasonality_Table_Gulf,2,0)</f>
        <v>0.9</v>
      </c>
      <c r="F39" s="132" t="n">
        <f aca="false">INDEX(Baseline_Income_Projections,MATCH("Saudi Arabia",'Country Sales &amp; Assumptions'!$G$13:$G$20,0),MATCH(Sales_Saudi_Arabia[[#This Row],[Year]],'Country Sales &amp; Assumptions'!$G$13:$L$13,0))*E39</f>
        <v>108391.20705</v>
      </c>
      <c r="G39" s="132" t="n">
        <f aca="false">+F39*0.06</f>
        <v>6503.472423</v>
      </c>
      <c r="H39" s="132" t="n">
        <f aca="false">IF(G39&lt;10000,10000-G39,0)</f>
        <v>3496.527577</v>
      </c>
      <c r="I39" s="132" t="n">
        <f aca="false">G39+H39</f>
        <v>10000</v>
      </c>
      <c r="K39" s="129" t="s">
        <v>231</v>
      </c>
      <c r="L39" s="130" t="n">
        <v>46142</v>
      </c>
      <c r="M39" s="130" t="str">
        <f aca="false">"Year " &amp; TEXT(YEAR(L39) - 2023, "0")</f>
        <v>Year 3</v>
      </c>
      <c r="N39" s="130" t="str">
        <f aca="false">_xlfn.IFS(O39&lt;90%,"Low",AND(O39&gt;=90%,O39&lt;=110%),"Medium", O39&gt;110%,"High")</f>
        <v>Medium</v>
      </c>
      <c r="O39" s="131" t="n">
        <f aca="false">VLOOKUP(TEXT(L39,"mmmm"),Seasonality_Table_Gulf,2,0)</f>
        <v>0.9</v>
      </c>
      <c r="P39" s="132" t="n">
        <f aca="false">INDEX(Baseline_Income_Projections,MATCH(K$2,'Country Sales &amp; Assumptions'!$G$13:$G$20,0),MATCH(Sales_Saudi_Arabia[[#This Row],[Year]],'Country Sales &amp; Assumptions'!$G$13:$L$13,0))*O39</f>
        <v>139397.108148</v>
      </c>
      <c r="Q39" s="132" t="n">
        <f aca="false">+P39*0.06</f>
        <v>8363.82648888</v>
      </c>
      <c r="R39" s="132" t="n">
        <f aca="false">IF(Q39&lt;10000,10000-Q39,0)</f>
        <v>1636.17351112</v>
      </c>
      <c r="S39" s="133" t="n">
        <f aca="false">Q39+R39</f>
        <v>10000</v>
      </c>
      <c r="U39" s="134" t="s">
        <v>231</v>
      </c>
      <c r="V39" s="130" t="n">
        <v>46142</v>
      </c>
      <c r="W39" s="130" t="str">
        <f aca="false">"Year " &amp; TEXT(YEAR(V39) - 2023, "0")</f>
        <v>Year 3</v>
      </c>
      <c r="X39" s="130" t="str">
        <f aca="false">_xlfn.IFS(Y39&lt;90%,"Low",AND(Y39&gt;=90%,Y39&lt;=110%),"Medium", Y39&gt;110%,"High")</f>
        <v>Medium</v>
      </c>
      <c r="Y39" s="131" t="n">
        <f aca="false">VLOOKUP(TEXT(V39,"mmmm"),Seasonality_Table_Gulf,2,0)</f>
        <v>0.9</v>
      </c>
      <c r="Z39" s="132" t="n">
        <f aca="false">INDEX(Baseline_Income_Projections,MATCH(U$2,'Country Sales &amp; Assumptions'!$G$13:$G$20,0),MATCH(Sales_Saudi_Arabia[[#This Row],[Year]],'Country Sales &amp; Assumptions'!$G$13:$L$13,0))*Y39</f>
        <v>146328.1295175</v>
      </c>
      <c r="AA39" s="132" t="n">
        <f aca="false">+Z39*0.06</f>
        <v>8779.68777105</v>
      </c>
      <c r="AB39" s="132" t="n">
        <f aca="false">IF(AA39&lt;10000,10000-AA39,0)</f>
        <v>1220.31222895</v>
      </c>
      <c r="AC39" s="132" t="n">
        <f aca="false">AA39+AB39</f>
        <v>10000</v>
      </c>
      <c r="AE39" s="134" t="s">
        <v>231</v>
      </c>
      <c r="AF39" s="130" t="n">
        <v>46142</v>
      </c>
      <c r="AG39" s="130" t="str">
        <f aca="false">"Year " &amp; TEXT(YEAR(AF39) - 2023, "0")</f>
        <v>Year 3</v>
      </c>
      <c r="AH39" s="130" t="str">
        <f aca="false">_xlfn.IFS(AI39&lt;90%,"Low",AND(AI39&gt;=90%,AI39&lt;=110%),"Medium", AI39&gt;110%,"High")</f>
        <v>Medium</v>
      </c>
      <c r="AI39" s="131" t="n">
        <f aca="false">VLOOKUP(TEXT(AF39,"mmmm"),Seasonality_Table_Gulf,2,0)</f>
        <v>0.9</v>
      </c>
      <c r="AJ39" s="132" t="n">
        <f aca="false">INDEX(Baseline_Income_Projections,MATCH(AE$2,'Country Sales &amp; Assumptions'!$G$13:$G$20,0),MATCH(Sales_Saudi_Arabia[[#This Row],[Year]],'Country Sales &amp; Assumptions'!$G$13:$L$13,0))*AI39</f>
        <v>131555.210894415</v>
      </c>
      <c r="AK39" s="132" t="n">
        <f aca="false">+AJ39*0.06</f>
        <v>7893.3126536649</v>
      </c>
      <c r="AL39" s="132" t="n">
        <f aca="false">IF(AK39&lt;10000,10000-AK39,0)</f>
        <v>2106.6873463351</v>
      </c>
      <c r="AM39" s="132" t="n">
        <f aca="false">AK39+AL39</f>
        <v>10000</v>
      </c>
      <c r="AO39" s="134" t="s">
        <v>231</v>
      </c>
      <c r="AP39" s="130" t="n">
        <v>46142</v>
      </c>
      <c r="AQ39" s="130" t="str">
        <f aca="false">"Year " &amp; TEXT(YEAR(AP39) - 2023, "0")</f>
        <v>Year 3</v>
      </c>
      <c r="AR39" s="130" t="str">
        <f aca="false">_xlfn.IFS(AS39&lt;90%,"Low",AND(AS39&gt;=90%,AS39&lt;=110%),"Medium", AS39&gt;110%,"High")</f>
        <v>High</v>
      </c>
      <c r="AS39" s="131" t="n">
        <f aca="false">VLOOKUP(TEXT(AP39,"mmmm"),Seasonality_Table_Mediterranean,2,0)</f>
        <v>1.2</v>
      </c>
      <c r="AT39" s="132" t="n">
        <f aca="false">INDEX(Baseline_Income_Projections,MATCH(AO$2,'Country Sales &amp; Assumptions'!$G$13:$G$20,0),MATCH(Sales_Saudi_Arabia[[#This Row],[Year]],'Country Sales &amp; Assumptions'!$G$13:$L$13,0))*AS39</f>
        <v>155462.904801866</v>
      </c>
      <c r="AU39" s="132" t="n">
        <f aca="false">+AT39*0.06</f>
        <v>9327.77428811194</v>
      </c>
      <c r="AV39" s="132" t="n">
        <f aca="false">IF(AU39&lt;10000,10000-AU39,0)</f>
        <v>672.225711888057</v>
      </c>
      <c r="AW39" s="132" t="n">
        <f aca="false">AU39+AV39</f>
        <v>10000</v>
      </c>
      <c r="AY39" s="134" t="s">
        <v>231</v>
      </c>
      <c r="AZ39" s="130" t="n">
        <v>46142</v>
      </c>
      <c r="BA39" s="130" t="str">
        <f aca="false">"Year " &amp; TEXT(YEAR(AZ39) - 2023, "0")</f>
        <v>Year 3</v>
      </c>
      <c r="BB39" s="130" t="str">
        <f aca="false">_xlfn.IFS(BC39&lt;90%,"Low",AND(BC39&gt;=90%,BC39&lt;=110%),"Medium", BC39&gt;110%,"High")</f>
        <v>High</v>
      </c>
      <c r="BC39" s="131" t="n">
        <f aca="false">VLOOKUP(TEXT(AZ39,"mmmm"),Seasonality_Table_Mediterranean,2,0)</f>
        <v>1.2</v>
      </c>
      <c r="BD39" s="132" t="n">
        <f aca="false">INDEX(Baseline_Income_Projections,MATCH(AY$2,'Country Sales &amp; Assumptions'!$G$13:$G$20,0),MATCH(Sales_Saudi_Arabia[[#This Row],[Year]],'Country Sales &amp; Assumptions'!$G$13:$L$13,0))*BC39</f>
        <v>140417.859585713</v>
      </c>
      <c r="BE39" s="132" t="n">
        <f aca="false">+BD39*0.06</f>
        <v>8425.0715751428</v>
      </c>
      <c r="BF39" s="132" t="n">
        <f aca="false">IF(BE39&lt;10000,10000-BE39,0)</f>
        <v>1574.9284248572</v>
      </c>
      <c r="BG39" s="132" t="n">
        <f aca="false">BE39+BF39</f>
        <v>10000</v>
      </c>
      <c r="BI39" s="134" t="s">
        <v>231</v>
      </c>
      <c r="BJ39" s="130" t="n">
        <v>46142</v>
      </c>
      <c r="BK39" s="130" t="str">
        <f aca="false">"Year " &amp; TEXT(YEAR(BJ39) - 2023, "0")</f>
        <v>Year 3</v>
      </c>
      <c r="BL39" s="130" t="str">
        <f aca="false">_xlfn.IFS(BM39&lt;90%,"Low",AND(BM39&gt;=90%,BM39&lt;=110%),"Medium", BM39&gt;110%,"High")</f>
        <v>High</v>
      </c>
      <c r="BM39" s="131" t="n">
        <f aca="false">VLOOKUP(TEXT(BJ39,"mmmm"),Seasonality_Table_Mediterranean,2,0)</f>
        <v>1.2</v>
      </c>
      <c r="BN39" s="132" t="n">
        <f aca="false">INDEX(Baseline_Income_Projections,MATCH(BI$2,'Country Sales &amp; Assumptions'!$G$13:$G$20,0),MATCH(Sales_Saudi_Arabia[[#This Row],[Year]],'Country Sales &amp; Assumptions'!$G$13:$L$13,0))*BM39</f>
        <v>169993.793560873</v>
      </c>
      <c r="BO39" s="132" t="n">
        <f aca="false">+BN39*0.06</f>
        <v>10199.6276136524</v>
      </c>
      <c r="BP39" s="132" t="n">
        <f aca="false">IF(BO39&lt;10000,10000-BO39,0)</f>
        <v>0</v>
      </c>
      <c r="BQ39" s="132" t="n">
        <f aca="false">BO39+BP39</f>
        <v>10199.6276136524</v>
      </c>
    </row>
    <row r="40" customFormat="false" ht="11.25" hidden="false" customHeight="true" outlineLevel="0" collapsed="false">
      <c r="A40" s="134" t="s">
        <v>231</v>
      </c>
      <c r="B40" s="130" t="n">
        <v>46173</v>
      </c>
      <c r="C40" s="130" t="str">
        <f aca="false">"Year " &amp; TEXT(YEAR(B40) - 2023, "0")</f>
        <v>Year 3</v>
      </c>
      <c r="D40" s="130" t="str">
        <f aca="false">_xlfn.IFS(E40&lt;90%,"Low",AND(E40&gt;=90%,E40&lt;=110%),"Medium", E40&gt;110%,"High")</f>
        <v>Low</v>
      </c>
      <c r="E40" s="131" t="n">
        <f aca="false">VLOOKUP(TEXT(B40,"mmmm"),Seasonality_Table_Gulf,2,0)</f>
        <v>0.8</v>
      </c>
      <c r="F40" s="132" t="n">
        <f aca="false">INDEX(Baseline_Income_Projections,MATCH("Saudi Arabia",'Country Sales &amp; Assumptions'!$G$13:$G$20,0),MATCH(Sales_Saudi_Arabia[[#This Row],[Year]],'Country Sales &amp; Assumptions'!$G$13:$L$13,0))*E40</f>
        <v>96347.7396</v>
      </c>
      <c r="G40" s="132" t="n">
        <f aca="false">+F40*0.06</f>
        <v>5780.864376</v>
      </c>
      <c r="H40" s="132" t="n">
        <f aca="false">IF(G40&lt;10000,10000-G40,0)</f>
        <v>4219.135624</v>
      </c>
      <c r="I40" s="132" t="n">
        <f aca="false">G40+H40</f>
        <v>10000</v>
      </c>
      <c r="K40" s="129" t="s">
        <v>231</v>
      </c>
      <c r="L40" s="130" t="n">
        <v>46173</v>
      </c>
      <c r="M40" s="130" t="str">
        <f aca="false">"Year " &amp; TEXT(YEAR(L40) - 2023, "0")</f>
        <v>Year 3</v>
      </c>
      <c r="N40" s="130" t="str">
        <f aca="false">_xlfn.IFS(O40&lt;90%,"Low",AND(O40&gt;=90%,O40&lt;=110%),"Medium", O40&gt;110%,"High")</f>
        <v>Low</v>
      </c>
      <c r="O40" s="131" t="n">
        <f aca="false">VLOOKUP(TEXT(L40,"mmmm"),Seasonality_Table_Gulf,2,0)</f>
        <v>0.8</v>
      </c>
      <c r="P40" s="132" t="n">
        <f aca="false">INDEX(Baseline_Income_Projections,MATCH(K$2,'Country Sales &amp; Assumptions'!$G$13:$G$20,0),MATCH(Sales_Saudi_Arabia[[#This Row],[Year]],'Country Sales &amp; Assumptions'!$G$13:$L$13,0))*O40</f>
        <v>123908.540576</v>
      </c>
      <c r="Q40" s="132" t="n">
        <f aca="false">+P40*0.06</f>
        <v>7434.51243456</v>
      </c>
      <c r="R40" s="132" t="n">
        <f aca="false">IF(Q40&lt;10000,10000-Q40,0)</f>
        <v>2565.48756544</v>
      </c>
      <c r="S40" s="133" t="n">
        <f aca="false">Q40+R40</f>
        <v>10000</v>
      </c>
      <c r="U40" s="134" t="s">
        <v>231</v>
      </c>
      <c r="V40" s="130" t="n">
        <v>46173</v>
      </c>
      <c r="W40" s="130" t="str">
        <f aca="false">"Year " &amp; TEXT(YEAR(V40) - 2023, "0")</f>
        <v>Year 3</v>
      </c>
      <c r="X40" s="130" t="str">
        <f aca="false">_xlfn.IFS(Y40&lt;90%,"Low",AND(Y40&gt;=90%,Y40&lt;=110%),"Medium", Y40&gt;110%,"High")</f>
        <v>Low</v>
      </c>
      <c r="Y40" s="131" t="n">
        <f aca="false">VLOOKUP(TEXT(V40,"mmmm"),Seasonality_Table_Gulf,2,0)</f>
        <v>0.8</v>
      </c>
      <c r="Z40" s="132" t="n">
        <f aca="false">INDEX(Baseline_Income_Projections,MATCH(U$2,'Country Sales &amp; Assumptions'!$G$13:$G$20,0),MATCH(Sales_Saudi_Arabia[[#This Row],[Year]],'Country Sales &amp; Assumptions'!$G$13:$L$13,0))*Y40</f>
        <v>130069.44846</v>
      </c>
      <c r="AA40" s="132" t="n">
        <f aca="false">+Z40*0.06</f>
        <v>7804.1669076</v>
      </c>
      <c r="AB40" s="132" t="n">
        <f aca="false">IF(AA40&lt;10000,10000-AA40,0)</f>
        <v>2195.8330924</v>
      </c>
      <c r="AC40" s="132" t="n">
        <f aca="false">AA40+AB40</f>
        <v>10000</v>
      </c>
      <c r="AE40" s="134" t="s">
        <v>231</v>
      </c>
      <c r="AF40" s="130" t="n">
        <v>46173</v>
      </c>
      <c r="AG40" s="130" t="str">
        <f aca="false">"Year " &amp; TEXT(YEAR(AF40) - 2023, "0")</f>
        <v>Year 3</v>
      </c>
      <c r="AH40" s="130" t="str">
        <f aca="false">_xlfn.IFS(AI40&lt;90%,"Low",AND(AI40&gt;=90%,AI40&lt;=110%),"Medium", AI40&gt;110%,"High")</f>
        <v>Low</v>
      </c>
      <c r="AI40" s="131" t="n">
        <f aca="false">VLOOKUP(TEXT(AF40,"mmmm"),Seasonality_Table_Gulf,2,0)</f>
        <v>0.8</v>
      </c>
      <c r="AJ40" s="132" t="n">
        <f aca="false">INDEX(Baseline_Income_Projections,MATCH(AE$2,'Country Sales &amp; Assumptions'!$G$13:$G$20,0),MATCH(Sales_Saudi_Arabia[[#This Row],[Year]],'Country Sales &amp; Assumptions'!$G$13:$L$13,0))*AI40</f>
        <v>116937.96523948</v>
      </c>
      <c r="AK40" s="132" t="n">
        <f aca="false">+AJ40*0.06</f>
        <v>7016.2779143688</v>
      </c>
      <c r="AL40" s="132" t="n">
        <f aca="false">IF(AK40&lt;10000,10000-AK40,0)</f>
        <v>2983.7220856312</v>
      </c>
      <c r="AM40" s="132" t="n">
        <f aca="false">AK40+AL40</f>
        <v>10000</v>
      </c>
      <c r="AO40" s="134" t="s">
        <v>231</v>
      </c>
      <c r="AP40" s="130" t="n">
        <v>46173</v>
      </c>
      <c r="AQ40" s="130" t="str">
        <f aca="false">"Year " &amp; TEXT(YEAR(AP40) - 2023, "0")</f>
        <v>Year 3</v>
      </c>
      <c r="AR40" s="130" t="str">
        <f aca="false">_xlfn.IFS(AS40&lt;90%,"Low",AND(AS40&gt;=90%,AS40&lt;=110%),"Medium", AS40&gt;110%,"High")</f>
        <v>Medium</v>
      </c>
      <c r="AS40" s="131" t="n">
        <f aca="false">VLOOKUP(TEXT(AP40,"mmmm"),Seasonality_Table_Mediterranean,2,0)</f>
        <v>1.1</v>
      </c>
      <c r="AT40" s="132" t="n">
        <f aca="false">INDEX(Baseline_Income_Projections,MATCH(AO$2,'Country Sales &amp; Assumptions'!$G$13:$G$20,0),MATCH(Sales_Saudi_Arabia[[#This Row],[Year]],'Country Sales &amp; Assumptions'!$G$13:$L$13,0))*AS40</f>
        <v>142507.662735044</v>
      </c>
      <c r="AU40" s="132" t="n">
        <f aca="false">+AT40*0.06</f>
        <v>8550.45976410262</v>
      </c>
      <c r="AV40" s="132" t="n">
        <f aca="false">IF(AU40&lt;10000,10000-AU40,0)</f>
        <v>1449.54023589738</v>
      </c>
      <c r="AW40" s="132" t="n">
        <f aca="false">AU40+AV40</f>
        <v>10000</v>
      </c>
      <c r="AY40" s="134" t="s">
        <v>231</v>
      </c>
      <c r="AZ40" s="130" t="n">
        <v>46173</v>
      </c>
      <c r="BA40" s="130" t="str">
        <f aca="false">"Year " &amp; TEXT(YEAR(AZ40) - 2023, "0")</f>
        <v>Year 3</v>
      </c>
      <c r="BB40" s="130" t="str">
        <f aca="false">_xlfn.IFS(BC40&lt;90%,"Low",AND(BC40&gt;=90%,BC40&lt;=110%),"Medium", BC40&gt;110%,"High")</f>
        <v>Medium</v>
      </c>
      <c r="BC40" s="131" t="n">
        <f aca="false">VLOOKUP(TEXT(AZ40,"mmmm"),Seasonality_Table_Mediterranean,2,0)</f>
        <v>1.1</v>
      </c>
      <c r="BD40" s="132" t="n">
        <f aca="false">INDEX(Baseline_Income_Projections,MATCH(AY$2,'Country Sales &amp; Assumptions'!$G$13:$G$20,0),MATCH(Sales_Saudi_Arabia[[#This Row],[Year]],'Country Sales &amp; Assumptions'!$G$13:$L$13,0))*BC40</f>
        <v>128716.371286904</v>
      </c>
      <c r="BE40" s="132" t="n">
        <f aca="false">+BD40*0.06</f>
        <v>7722.98227721423</v>
      </c>
      <c r="BF40" s="132" t="n">
        <f aca="false">IF(BE40&lt;10000,10000-BE40,0)</f>
        <v>2277.01772278577</v>
      </c>
      <c r="BG40" s="132" t="n">
        <f aca="false">BE40+BF40</f>
        <v>10000</v>
      </c>
      <c r="BI40" s="134" t="s">
        <v>231</v>
      </c>
      <c r="BJ40" s="130" t="n">
        <v>46173</v>
      </c>
      <c r="BK40" s="130" t="str">
        <f aca="false">"Year " &amp; TEXT(YEAR(BJ40) - 2023, "0")</f>
        <v>Year 3</v>
      </c>
      <c r="BL40" s="130" t="str">
        <f aca="false">_xlfn.IFS(BM40&lt;90%,"Low",AND(BM40&gt;=90%,BM40&lt;=110%),"Medium", BM40&gt;110%,"High")</f>
        <v>Medium</v>
      </c>
      <c r="BM40" s="131" t="n">
        <f aca="false">VLOOKUP(TEXT(BJ40,"mmmm"),Seasonality_Table_Mediterranean,2,0)</f>
        <v>1.1</v>
      </c>
      <c r="BN40" s="132" t="n">
        <f aca="false">INDEX(Baseline_Income_Projections,MATCH(BI$2,'Country Sales &amp; Assumptions'!$G$13:$G$20,0),MATCH(Sales_Saudi_Arabia[[#This Row],[Year]],'Country Sales &amp; Assumptions'!$G$13:$L$13,0))*BM40</f>
        <v>155827.644097467</v>
      </c>
      <c r="BO40" s="132" t="n">
        <f aca="false">+BN40*0.06</f>
        <v>9349.65864584801</v>
      </c>
      <c r="BP40" s="132" t="n">
        <f aca="false">IF(BO40&lt;10000,10000-BO40,0)</f>
        <v>650.341354151986</v>
      </c>
      <c r="BQ40" s="132" t="n">
        <f aca="false">BO40+BP40</f>
        <v>10000</v>
      </c>
    </row>
    <row r="41" customFormat="false" ht="11.25" hidden="false" customHeight="true" outlineLevel="0" collapsed="false">
      <c r="A41" s="134" t="s">
        <v>231</v>
      </c>
      <c r="B41" s="130" t="n">
        <v>46203</v>
      </c>
      <c r="C41" s="130" t="str">
        <f aca="false">"Year " &amp; TEXT(YEAR(B41) - 2023, "0")</f>
        <v>Year 3</v>
      </c>
      <c r="D41" s="130" t="str">
        <f aca="false">_xlfn.IFS(E41&lt;90%,"Low",AND(E41&gt;=90%,E41&lt;=110%),"Medium", E41&gt;110%,"High")</f>
        <v>Low</v>
      </c>
      <c r="E41" s="131" t="n">
        <f aca="false">VLOOKUP(TEXT(B41,"mmmm"),Seasonality_Table_Gulf,2,0)</f>
        <v>0.75</v>
      </c>
      <c r="F41" s="132" t="n">
        <f aca="false">INDEX(Baseline_Income_Projections,MATCH("Saudi Arabia",'Country Sales &amp; Assumptions'!$G$13:$G$20,0),MATCH(Sales_Saudi_Arabia[[#This Row],[Year]],'Country Sales &amp; Assumptions'!$G$13:$L$13,0))*E41</f>
        <v>90326.005875</v>
      </c>
      <c r="G41" s="132" t="n">
        <f aca="false">+F41*0.06</f>
        <v>5419.5603525</v>
      </c>
      <c r="H41" s="132" t="n">
        <f aca="false">IF(G41&lt;10000,10000-G41,0)</f>
        <v>4580.4396475</v>
      </c>
      <c r="I41" s="132" t="n">
        <f aca="false">G41+H41</f>
        <v>10000</v>
      </c>
      <c r="K41" s="129" t="s">
        <v>231</v>
      </c>
      <c r="L41" s="130" t="n">
        <v>46203</v>
      </c>
      <c r="M41" s="130" t="str">
        <f aca="false">"Year " &amp; TEXT(YEAR(L41) - 2023, "0")</f>
        <v>Year 3</v>
      </c>
      <c r="N41" s="130" t="str">
        <f aca="false">_xlfn.IFS(O41&lt;90%,"Low",AND(O41&gt;=90%,O41&lt;=110%),"Medium", O41&gt;110%,"High")</f>
        <v>Low</v>
      </c>
      <c r="O41" s="131" t="n">
        <f aca="false">VLOOKUP(TEXT(L41,"mmmm"),Seasonality_Table_Gulf,2,0)</f>
        <v>0.75</v>
      </c>
      <c r="P41" s="132" t="n">
        <f aca="false">INDEX(Baseline_Income_Projections,MATCH(K$2,'Country Sales &amp; Assumptions'!$G$13:$G$20,0),MATCH(Sales_Saudi_Arabia[[#This Row],[Year]],'Country Sales &amp; Assumptions'!$G$13:$L$13,0))*O41</f>
        <v>116164.25679</v>
      </c>
      <c r="Q41" s="132" t="n">
        <f aca="false">+P41*0.06</f>
        <v>6969.8554074</v>
      </c>
      <c r="R41" s="132" t="n">
        <f aca="false">IF(Q41&lt;10000,10000-Q41,0)</f>
        <v>3030.1445926</v>
      </c>
      <c r="S41" s="133" t="n">
        <f aca="false">Q41+R41</f>
        <v>10000</v>
      </c>
      <c r="U41" s="134" t="s">
        <v>231</v>
      </c>
      <c r="V41" s="130" t="n">
        <v>46203</v>
      </c>
      <c r="W41" s="130" t="str">
        <f aca="false">"Year " &amp; TEXT(YEAR(V41) - 2023, "0")</f>
        <v>Year 3</v>
      </c>
      <c r="X41" s="130" t="str">
        <f aca="false">_xlfn.IFS(Y41&lt;90%,"Low",AND(Y41&gt;=90%,Y41&lt;=110%),"Medium", Y41&gt;110%,"High")</f>
        <v>Low</v>
      </c>
      <c r="Y41" s="131" t="n">
        <f aca="false">VLOOKUP(TEXT(V41,"mmmm"),Seasonality_Table_Gulf,2,0)</f>
        <v>0.75</v>
      </c>
      <c r="Z41" s="132" t="n">
        <f aca="false">INDEX(Baseline_Income_Projections,MATCH(U$2,'Country Sales &amp; Assumptions'!$G$13:$G$20,0),MATCH(Sales_Saudi_Arabia[[#This Row],[Year]],'Country Sales &amp; Assumptions'!$G$13:$L$13,0))*Y41</f>
        <v>121940.10793125</v>
      </c>
      <c r="AA41" s="132" t="n">
        <f aca="false">+Z41*0.06</f>
        <v>7316.406475875</v>
      </c>
      <c r="AB41" s="132" t="n">
        <f aca="false">IF(AA41&lt;10000,10000-AA41,0)</f>
        <v>2683.593524125</v>
      </c>
      <c r="AC41" s="132" t="n">
        <f aca="false">AA41+AB41</f>
        <v>10000</v>
      </c>
      <c r="AE41" s="134" t="s">
        <v>231</v>
      </c>
      <c r="AF41" s="130" t="n">
        <v>46203</v>
      </c>
      <c r="AG41" s="130" t="str">
        <f aca="false">"Year " &amp; TEXT(YEAR(AF41) - 2023, "0")</f>
        <v>Year 3</v>
      </c>
      <c r="AH41" s="130" t="str">
        <f aca="false">_xlfn.IFS(AI41&lt;90%,"Low",AND(AI41&gt;=90%,AI41&lt;=110%),"Medium", AI41&gt;110%,"High")</f>
        <v>Low</v>
      </c>
      <c r="AI41" s="131" t="n">
        <f aca="false">VLOOKUP(TEXT(AF41,"mmmm"),Seasonality_Table_Gulf,2,0)</f>
        <v>0.75</v>
      </c>
      <c r="AJ41" s="132" t="n">
        <f aca="false">INDEX(Baseline_Income_Projections,MATCH(AE$2,'Country Sales &amp; Assumptions'!$G$13:$G$20,0),MATCH(Sales_Saudi_Arabia[[#This Row],[Year]],'Country Sales &amp; Assumptions'!$G$13:$L$13,0))*AI41</f>
        <v>109629.342412013</v>
      </c>
      <c r="AK41" s="132" t="n">
        <f aca="false">+AJ41*0.06</f>
        <v>6577.76054472075</v>
      </c>
      <c r="AL41" s="132" t="n">
        <f aca="false">IF(AK41&lt;10000,10000-AK41,0)</f>
        <v>3422.23945527925</v>
      </c>
      <c r="AM41" s="132" t="n">
        <f aca="false">AK41+AL41</f>
        <v>10000</v>
      </c>
      <c r="AO41" s="134" t="s">
        <v>231</v>
      </c>
      <c r="AP41" s="130" t="n">
        <v>46203</v>
      </c>
      <c r="AQ41" s="130" t="str">
        <f aca="false">"Year " &amp; TEXT(YEAR(AP41) - 2023, "0")</f>
        <v>Year 3</v>
      </c>
      <c r="AR41" s="130" t="str">
        <f aca="false">_xlfn.IFS(AS41&lt;90%,"Low",AND(AS41&gt;=90%,AS41&lt;=110%),"Medium", AS41&gt;110%,"High")</f>
        <v>Medium</v>
      </c>
      <c r="AS41" s="131" t="n">
        <f aca="false">VLOOKUP(TEXT(AP41,"mmmm"),Seasonality_Table_Mediterranean,2,0)</f>
        <v>1</v>
      </c>
      <c r="AT41" s="132" t="n">
        <f aca="false">INDEX(Baseline_Income_Projections,MATCH(AO$2,'Country Sales &amp; Assumptions'!$G$13:$G$20,0),MATCH(Sales_Saudi_Arabia[[#This Row],[Year]],'Country Sales &amp; Assumptions'!$G$13:$L$13,0))*AS41</f>
        <v>129552.420668221</v>
      </c>
      <c r="AU41" s="132" t="n">
        <f aca="false">+AT41*0.06</f>
        <v>7773.14524009329</v>
      </c>
      <c r="AV41" s="132" t="n">
        <f aca="false">IF(AU41&lt;10000,10000-AU41,0)</f>
        <v>2226.85475990671</v>
      </c>
      <c r="AW41" s="132" t="n">
        <f aca="false">AU41+AV41</f>
        <v>10000</v>
      </c>
      <c r="AY41" s="134" t="s">
        <v>231</v>
      </c>
      <c r="AZ41" s="130" t="n">
        <v>46203</v>
      </c>
      <c r="BA41" s="130" t="str">
        <f aca="false">"Year " &amp; TEXT(YEAR(AZ41) - 2023, "0")</f>
        <v>Year 3</v>
      </c>
      <c r="BB41" s="130" t="str">
        <f aca="false">_xlfn.IFS(BC41&lt;90%,"Low",AND(BC41&gt;=90%,BC41&lt;=110%),"Medium", BC41&gt;110%,"High")</f>
        <v>Medium</v>
      </c>
      <c r="BC41" s="131" t="n">
        <f aca="false">VLOOKUP(TEXT(AZ41,"mmmm"),Seasonality_Table_Mediterranean,2,0)</f>
        <v>1</v>
      </c>
      <c r="BD41" s="132" t="n">
        <f aca="false">INDEX(Baseline_Income_Projections,MATCH(AY$2,'Country Sales &amp; Assumptions'!$G$13:$G$20,0),MATCH(Sales_Saudi_Arabia[[#This Row],[Year]],'Country Sales &amp; Assumptions'!$G$13:$L$13,0))*BC41</f>
        <v>117014.882988094</v>
      </c>
      <c r="BE41" s="132" t="n">
        <f aca="false">+BD41*0.06</f>
        <v>7020.89297928567</v>
      </c>
      <c r="BF41" s="132" t="n">
        <f aca="false">IF(BE41&lt;10000,10000-BE41,0)</f>
        <v>2979.10702071433</v>
      </c>
      <c r="BG41" s="132" t="n">
        <f aca="false">BE41+BF41</f>
        <v>10000</v>
      </c>
      <c r="BI41" s="134" t="s">
        <v>231</v>
      </c>
      <c r="BJ41" s="130" t="n">
        <v>46203</v>
      </c>
      <c r="BK41" s="130" t="str">
        <f aca="false">"Year " &amp; TEXT(YEAR(BJ41) - 2023, "0")</f>
        <v>Year 3</v>
      </c>
      <c r="BL41" s="130" t="str">
        <f aca="false">_xlfn.IFS(BM41&lt;90%,"Low",AND(BM41&gt;=90%,BM41&lt;=110%),"Medium", BM41&gt;110%,"High")</f>
        <v>Medium</v>
      </c>
      <c r="BM41" s="131" t="n">
        <f aca="false">VLOOKUP(TEXT(BJ41,"mmmm"),Seasonality_Table_Mediterranean,2,0)</f>
        <v>1</v>
      </c>
      <c r="BN41" s="132" t="n">
        <f aca="false">INDEX(Baseline_Income_Projections,MATCH(BI$2,'Country Sales &amp; Assumptions'!$G$13:$G$20,0),MATCH(Sales_Saudi_Arabia[[#This Row],[Year]],'Country Sales &amp; Assumptions'!$G$13:$L$13,0))*BM41</f>
        <v>141661.494634061</v>
      </c>
      <c r="BO41" s="132" t="n">
        <f aca="false">+BN41*0.06</f>
        <v>8499.68967804365</v>
      </c>
      <c r="BP41" s="132" t="n">
        <f aca="false">IF(BO41&lt;10000,10000-BO41,0)</f>
        <v>1500.31032195635</v>
      </c>
      <c r="BQ41" s="132" t="n">
        <f aca="false">BO41+BP41</f>
        <v>10000</v>
      </c>
    </row>
    <row r="42" customFormat="false" ht="11.25" hidden="false" customHeight="true" outlineLevel="0" collapsed="false">
      <c r="A42" s="134" t="s">
        <v>231</v>
      </c>
      <c r="B42" s="130" t="n">
        <v>46234</v>
      </c>
      <c r="C42" s="130" t="str">
        <f aca="false">"Year " &amp; TEXT(YEAR(B42) - 2023, "0")</f>
        <v>Year 3</v>
      </c>
      <c r="D42" s="130" t="str">
        <f aca="false">_xlfn.IFS(E42&lt;90%,"Low",AND(E42&gt;=90%,E42&lt;=110%),"Medium", E42&gt;110%,"High")</f>
        <v>Low</v>
      </c>
      <c r="E42" s="131" t="n">
        <f aca="false">VLOOKUP(TEXT(B42,"mmmm"),Seasonality_Table_Gulf,2,0)</f>
        <v>0.7</v>
      </c>
      <c r="F42" s="132" t="n">
        <f aca="false">INDEX(Baseline_Income_Projections,MATCH("Saudi Arabia",'Country Sales &amp; Assumptions'!$G$13:$G$20,0),MATCH(Sales_Saudi_Arabia[[#This Row],[Year]],'Country Sales &amp; Assumptions'!$G$13:$L$13,0))*E42</f>
        <v>84304.27215</v>
      </c>
      <c r="G42" s="132" t="n">
        <f aca="false">+F42*0.06</f>
        <v>5058.256329</v>
      </c>
      <c r="H42" s="132" t="n">
        <f aca="false">IF(G42&lt;10000,10000-G42,0)</f>
        <v>4941.743671</v>
      </c>
      <c r="I42" s="132" t="n">
        <f aca="false">G42+H42</f>
        <v>10000</v>
      </c>
      <c r="K42" s="129" t="s">
        <v>231</v>
      </c>
      <c r="L42" s="130" t="n">
        <v>46234</v>
      </c>
      <c r="M42" s="130" t="str">
        <f aca="false">"Year " &amp; TEXT(YEAR(L42) - 2023, "0")</f>
        <v>Year 3</v>
      </c>
      <c r="N42" s="130" t="str">
        <f aca="false">_xlfn.IFS(O42&lt;90%,"Low",AND(O42&gt;=90%,O42&lt;=110%),"Medium", O42&gt;110%,"High")</f>
        <v>Low</v>
      </c>
      <c r="O42" s="131" t="n">
        <f aca="false">VLOOKUP(TEXT(L42,"mmmm"),Seasonality_Table_Gulf,2,0)</f>
        <v>0.7</v>
      </c>
      <c r="P42" s="132" t="n">
        <f aca="false">INDEX(Baseline_Income_Projections,MATCH(K$2,'Country Sales &amp; Assumptions'!$G$13:$G$20,0),MATCH(Sales_Saudi_Arabia[[#This Row],[Year]],'Country Sales &amp; Assumptions'!$G$13:$L$13,0))*O42</f>
        <v>108419.973004</v>
      </c>
      <c r="Q42" s="132" t="n">
        <f aca="false">+P42*0.06</f>
        <v>6505.19838024</v>
      </c>
      <c r="R42" s="132" t="n">
        <f aca="false">IF(Q42&lt;10000,10000-Q42,0)</f>
        <v>3494.80161976</v>
      </c>
      <c r="S42" s="133" t="n">
        <f aca="false">Q42+R42</f>
        <v>10000</v>
      </c>
      <c r="U42" s="134" t="s">
        <v>231</v>
      </c>
      <c r="V42" s="130" t="n">
        <v>46234</v>
      </c>
      <c r="W42" s="130" t="str">
        <f aca="false">"Year " &amp; TEXT(YEAR(V42) - 2023, "0")</f>
        <v>Year 3</v>
      </c>
      <c r="X42" s="130" t="str">
        <f aca="false">_xlfn.IFS(Y42&lt;90%,"Low",AND(Y42&gt;=90%,Y42&lt;=110%),"Medium", Y42&gt;110%,"High")</f>
        <v>Low</v>
      </c>
      <c r="Y42" s="131" t="n">
        <f aca="false">VLOOKUP(TEXT(V42,"mmmm"),Seasonality_Table_Gulf,2,0)</f>
        <v>0.7</v>
      </c>
      <c r="Z42" s="132" t="n">
        <f aca="false">INDEX(Baseline_Income_Projections,MATCH(U$2,'Country Sales &amp; Assumptions'!$G$13:$G$20,0),MATCH(Sales_Saudi_Arabia[[#This Row],[Year]],'Country Sales &amp; Assumptions'!$G$13:$L$13,0))*Y42</f>
        <v>113810.7674025</v>
      </c>
      <c r="AA42" s="132" t="n">
        <f aca="false">+Z42*0.06</f>
        <v>6828.64604415</v>
      </c>
      <c r="AB42" s="132" t="n">
        <f aca="false">IF(AA42&lt;10000,10000-AA42,0)</f>
        <v>3171.35395585</v>
      </c>
      <c r="AC42" s="132" t="n">
        <f aca="false">AA42+AB42</f>
        <v>10000</v>
      </c>
      <c r="AE42" s="134" t="s">
        <v>231</v>
      </c>
      <c r="AF42" s="130" t="n">
        <v>46234</v>
      </c>
      <c r="AG42" s="130" t="str">
        <f aca="false">"Year " &amp; TEXT(YEAR(AF42) - 2023, "0")</f>
        <v>Year 3</v>
      </c>
      <c r="AH42" s="130" t="str">
        <f aca="false">_xlfn.IFS(AI42&lt;90%,"Low",AND(AI42&gt;=90%,AI42&lt;=110%),"Medium", AI42&gt;110%,"High")</f>
        <v>Low</v>
      </c>
      <c r="AI42" s="131" t="n">
        <f aca="false">VLOOKUP(TEXT(AF42,"mmmm"),Seasonality_Table_Gulf,2,0)</f>
        <v>0.7</v>
      </c>
      <c r="AJ42" s="132" t="n">
        <f aca="false">INDEX(Baseline_Income_Projections,MATCH(AE$2,'Country Sales &amp; Assumptions'!$G$13:$G$20,0),MATCH(Sales_Saudi_Arabia[[#This Row],[Year]],'Country Sales &amp; Assumptions'!$G$13:$L$13,0))*AI42</f>
        <v>102320.719584545</v>
      </c>
      <c r="AK42" s="132" t="n">
        <f aca="false">+AJ42*0.06</f>
        <v>6139.2431750727</v>
      </c>
      <c r="AL42" s="132" t="n">
        <f aca="false">IF(AK42&lt;10000,10000-AK42,0)</f>
        <v>3860.7568249273</v>
      </c>
      <c r="AM42" s="132" t="n">
        <f aca="false">AK42+AL42</f>
        <v>10000</v>
      </c>
      <c r="AO42" s="134" t="s">
        <v>231</v>
      </c>
      <c r="AP42" s="130" t="n">
        <v>46234</v>
      </c>
      <c r="AQ42" s="130" t="str">
        <f aca="false">"Year " &amp; TEXT(YEAR(AP42) - 2023, "0")</f>
        <v>Year 3</v>
      </c>
      <c r="AR42" s="130" t="str">
        <f aca="false">_xlfn.IFS(AS42&lt;90%,"Low",AND(AS42&gt;=90%,AS42&lt;=110%),"Medium", AS42&gt;110%,"High")</f>
        <v>Medium</v>
      </c>
      <c r="AS42" s="131" t="n">
        <f aca="false">VLOOKUP(TEXT(AP42,"mmmm"),Seasonality_Table_Mediterranean,2,0)</f>
        <v>0.9</v>
      </c>
      <c r="AT42" s="132" t="n">
        <f aca="false">INDEX(Baseline_Income_Projections,MATCH(AO$2,'Country Sales &amp; Assumptions'!$G$13:$G$20,0),MATCH(Sales_Saudi_Arabia[[#This Row],[Year]],'Country Sales &amp; Assumptions'!$G$13:$L$13,0))*AS42</f>
        <v>116597.178601399</v>
      </c>
      <c r="AU42" s="132" t="n">
        <f aca="false">+AT42*0.06</f>
        <v>6995.83071608396</v>
      </c>
      <c r="AV42" s="132" t="n">
        <f aca="false">IF(AU42&lt;10000,10000-AU42,0)</f>
        <v>3004.16928391604</v>
      </c>
      <c r="AW42" s="132" t="n">
        <f aca="false">AU42+AV42</f>
        <v>10000</v>
      </c>
      <c r="AY42" s="134" t="s">
        <v>231</v>
      </c>
      <c r="AZ42" s="130" t="n">
        <v>46234</v>
      </c>
      <c r="BA42" s="130" t="str">
        <f aca="false">"Year " &amp; TEXT(YEAR(AZ42) - 2023, "0")</f>
        <v>Year 3</v>
      </c>
      <c r="BB42" s="130" t="str">
        <f aca="false">_xlfn.IFS(BC42&lt;90%,"Low",AND(BC42&gt;=90%,BC42&lt;=110%),"Medium", BC42&gt;110%,"High")</f>
        <v>Medium</v>
      </c>
      <c r="BC42" s="131" t="n">
        <f aca="false">VLOOKUP(TEXT(AZ42,"mmmm"),Seasonality_Table_Mediterranean,2,0)</f>
        <v>0.9</v>
      </c>
      <c r="BD42" s="132" t="n">
        <f aca="false">INDEX(Baseline_Income_Projections,MATCH(AY$2,'Country Sales &amp; Assumptions'!$G$13:$G$20,0),MATCH(Sales_Saudi_Arabia[[#This Row],[Year]],'Country Sales &amp; Assumptions'!$G$13:$L$13,0))*BC42</f>
        <v>105313.394689285</v>
      </c>
      <c r="BE42" s="132" t="n">
        <f aca="false">+BD42*0.06</f>
        <v>6318.8036813571</v>
      </c>
      <c r="BF42" s="132" t="n">
        <f aca="false">IF(BE42&lt;10000,10000-BE42,0)</f>
        <v>3681.1963186429</v>
      </c>
      <c r="BG42" s="132" t="n">
        <f aca="false">BE42+BF42</f>
        <v>10000</v>
      </c>
      <c r="BI42" s="134" t="s">
        <v>231</v>
      </c>
      <c r="BJ42" s="130" t="n">
        <v>46234</v>
      </c>
      <c r="BK42" s="130" t="str">
        <f aca="false">"Year " &amp; TEXT(YEAR(BJ42) - 2023, "0")</f>
        <v>Year 3</v>
      </c>
      <c r="BL42" s="130" t="str">
        <f aca="false">_xlfn.IFS(BM42&lt;90%,"Low",AND(BM42&gt;=90%,BM42&lt;=110%),"Medium", BM42&gt;110%,"High")</f>
        <v>Medium</v>
      </c>
      <c r="BM42" s="131" t="n">
        <f aca="false">VLOOKUP(TEXT(BJ42,"mmmm"),Seasonality_Table_Mediterranean,2,0)</f>
        <v>0.9</v>
      </c>
      <c r="BN42" s="132" t="n">
        <f aca="false">INDEX(Baseline_Income_Projections,MATCH(BI$2,'Country Sales &amp; Assumptions'!$G$13:$G$20,0),MATCH(Sales_Saudi_Arabia[[#This Row],[Year]],'Country Sales &amp; Assumptions'!$G$13:$L$13,0))*BM42</f>
        <v>127495.345170655</v>
      </c>
      <c r="BO42" s="132" t="n">
        <f aca="false">+BN42*0.06</f>
        <v>7649.72071023928</v>
      </c>
      <c r="BP42" s="132" t="n">
        <f aca="false">IF(BO42&lt;10000,10000-BO42,0)</f>
        <v>2350.27928976072</v>
      </c>
      <c r="BQ42" s="132" t="n">
        <f aca="false">BO42+BP42</f>
        <v>10000</v>
      </c>
    </row>
    <row r="43" customFormat="false" ht="11.25" hidden="false" customHeight="true" outlineLevel="0" collapsed="false">
      <c r="A43" s="134" t="s">
        <v>231</v>
      </c>
      <c r="B43" s="130" t="n">
        <v>46265</v>
      </c>
      <c r="C43" s="130" t="str">
        <f aca="false">"Year " &amp; TEXT(YEAR(B43) - 2023, "0")</f>
        <v>Year 3</v>
      </c>
      <c r="D43" s="130" t="str">
        <f aca="false">_xlfn.IFS(E43&lt;90%,"Low",AND(E43&gt;=90%,E43&lt;=110%),"Medium", E43&gt;110%,"High")</f>
        <v>Low</v>
      </c>
      <c r="E43" s="131" t="n">
        <f aca="false">VLOOKUP(TEXT(B43,"mmmm"),Seasonality_Table_Gulf,2,0)</f>
        <v>0.75</v>
      </c>
      <c r="F43" s="132" t="n">
        <f aca="false">INDEX(Baseline_Income_Projections,MATCH("Saudi Arabia",'Country Sales &amp; Assumptions'!$G$13:$G$20,0),MATCH(Sales_Saudi_Arabia[[#This Row],[Year]],'Country Sales &amp; Assumptions'!$G$13:$L$13,0))*E43</f>
        <v>90326.005875</v>
      </c>
      <c r="G43" s="132" t="n">
        <f aca="false">+F43*0.06</f>
        <v>5419.5603525</v>
      </c>
      <c r="H43" s="132" t="n">
        <f aca="false">IF(G43&lt;10000,10000-G43,0)</f>
        <v>4580.4396475</v>
      </c>
      <c r="I43" s="132" t="n">
        <f aca="false">G43+H43</f>
        <v>10000</v>
      </c>
      <c r="K43" s="129" t="s">
        <v>231</v>
      </c>
      <c r="L43" s="130" t="n">
        <v>46265</v>
      </c>
      <c r="M43" s="130" t="str">
        <f aca="false">"Year " &amp; TEXT(YEAR(L43) - 2023, "0")</f>
        <v>Year 3</v>
      </c>
      <c r="N43" s="130" t="str">
        <f aca="false">_xlfn.IFS(O43&lt;90%,"Low",AND(O43&gt;=90%,O43&lt;=110%),"Medium", O43&gt;110%,"High")</f>
        <v>Low</v>
      </c>
      <c r="O43" s="131" t="n">
        <f aca="false">VLOOKUP(TEXT(L43,"mmmm"),Seasonality_Table_Gulf,2,0)</f>
        <v>0.75</v>
      </c>
      <c r="P43" s="132" t="n">
        <f aca="false">INDEX(Baseline_Income_Projections,MATCH(K$2,'Country Sales &amp; Assumptions'!$G$13:$G$20,0),MATCH(Sales_Saudi_Arabia[[#This Row],[Year]],'Country Sales &amp; Assumptions'!$G$13:$L$13,0))*O43</f>
        <v>116164.25679</v>
      </c>
      <c r="Q43" s="132" t="n">
        <f aca="false">+P43*0.06</f>
        <v>6969.8554074</v>
      </c>
      <c r="R43" s="132" t="n">
        <f aca="false">IF(Q43&lt;10000,10000-Q43,0)</f>
        <v>3030.1445926</v>
      </c>
      <c r="S43" s="133" t="n">
        <f aca="false">Q43+R43</f>
        <v>10000</v>
      </c>
      <c r="U43" s="134" t="s">
        <v>231</v>
      </c>
      <c r="V43" s="130" t="n">
        <v>46265</v>
      </c>
      <c r="W43" s="130" t="str">
        <f aca="false">"Year " &amp; TEXT(YEAR(V43) - 2023, "0")</f>
        <v>Year 3</v>
      </c>
      <c r="X43" s="130" t="str">
        <f aca="false">_xlfn.IFS(Y43&lt;90%,"Low",AND(Y43&gt;=90%,Y43&lt;=110%),"Medium", Y43&gt;110%,"High")</f>
        <v>Low</v>
      </c>
      <c r="Y43" s="131" t="n">
        <f aca="false">VLOOKUP(TEXT(V43,"mmmm"),Seasonality_Table_Gulf,2,0)</f>
        <v>0.75</v>
      </c>
      <c r="Z43" s="132" t="n">
        <f aca="false">INDEX(Baseline_Income_Projections,MATCH(U$2,'Country Sales &amp; Assumptions'!$G$13:$G$20,0),MATCH(Sales_Saudi_Arabia[[#This Row],[Year]],'Country Sales &amp; Assumptions'!$G$13:$L$13,0))*Y43</f>
        <v>121940.10793125</v>
      </c>
      <c r="AA43" s="132" t="n">
        <f aca="false">+Z43*0.06</f>
        <v>7316.406475875</v>
      </c>
      <c r="AB43" s="132" t="n">
        <f aca="false">IF(AA43&lt;10000,10000-AA43,0)</f>
        <v>2683.593524125</v>
      </c>
      <c r="AC43" s="132" t="n">
        <f aca="false">AA43+AB43</f>
        <v>10000</v>
      </c>
      <c r="AE43" s="134" t="s">
        <v>231</v>
      </c>
      <c r="AF43" s="130" t="n">
        <v>46265</v>
      </c>
      <c r="AG43" s="130" t="str">
        <f aca="false">"Year " &amp; TEXT(YEAR(AF43) - 2023, "0")</f>
        <v>Year 3</v>
      </c>
      <c r="AH43" s="130" t="str">
        <f aca="false">_xlfn.IFS(AI43&lt;90%,"Low",AND(AI43&gt;=90%,AI43&lt;=110%),"Medium", AI43&gt;110%,"High")</f>
        <v>Low</v>
      </c>
      <c r="AI43" s="131" t="n">
        <f aca="false">VLOOKUP(TEXT(AF43,"mmmm"),Seasonality_Table_Gulf,2,0)</f>
        <v>0.75</v>
      </c>
      <c r="AJ43" s="132" t="n">
        <f aca="false">INDEX(Baseline_Income_Projections,MATCH(AE$2,'Country Sales &amp; Assumptions'!$G$13:$G$20,0),MATCH(Sales_Saudi_Arabia[[#This Row],[Year]],'Country Sales &amp; Assumptions'!$G$13:$L$13,0))*AI43</f>
        <v>109629.342412013</v>
      </c>
      <c r="AK43" s="132" t="n">
        <f aca="false">+AJ43*0.06</f>
        <v>6577.76054472075</v>
      </c>
      <c r="AL43" s="132" t="n">
        <f aca="false">IF(AK43&lt;10000,10000-AK43,0)</f>
        <v>3422.23945527925</v>
      </c>
      <c r="AM43" s="132" t="n">
        <f aca="false">AK43+AL43</f>
        <v>10000</v>
      </c>
      <c r="AO43" s="134" t="s">
        <v>231</v>
      </c>
      <c r="AP43" s="130" t="n">
        <v>46265</v>
      </c>
      <c r="AQ43" s="130" t="str">
        <f aca="false">"Year " &amp; TEXT(YEAR(AP43) - 2023, "0")</f>
        <v>Year 3</v>
      </c>
      <c r="AR43" s="130" t="str">
        <f aca="false">_xlfn.IFS(AS43&lt;90%,"Low",AND(AS43&gt;=90%,AS43&lt;=110%),"Medium", AS43&gt;110%,"High")</f>
        <v>Medium</v>
      </c>
      <c r="AS43" s="131" t="n">
        <f aca="false">VLOOKUP(TEXT(AP43,"mmmm"),Seasonality_Table_Mediterranean,2,0)</f>
        <v>0.9</v>
      </c>
      <c r="AT43" s="132" t="n">
        <f aca="false">INDEX(Baseline_Income_Projections,MATCH(AO$2,'Country Sales &amp; Assumptions'!$G$13:$G$20,0),MATCH(Sales_Saudi_Arabia[[#This Row],[Year]],'Country Sales &amp; Assumptions'!$G$13:$L$13,0))*AS43</f>
        <v>116597.178601399</v>
      </c>
      <c r="AU43" s="132" t="n">
        <f aca="false">+AT43*0.06</f>
        <v>6995.83071608396</v>
      </c>
      <c r="AV43" s="132" t="n">
        <f aca="false">IF(AU43&lt;10000,10000-AU43,0)</f>
        <v>3004.16928391604</v>
      </c>
      <c r="AW43" s="132" t="n">
        <f aca="false">AU43+AV43</f>
        <v>10000</v>
      </c>
      <c r="AY43" s="134" t="s">
        <v>231</v>
      </c>
      <c r="AZ43" s="130" t="n">
        <v>46265</v>
      </c>
      <c r="BA43" s="130" t="str">
        <f aca="false">"Year " &amp; TEXT(YEAR(AZ43) - 2023, "0")</f>
        <v>Year 3</v>
      </c>
      <c r="BB43" s="130" t="str">
        <f aca="false">_xlfn.IFS(BC43&lt;90%,"Low",AND(BC43&gt;=90%,BC43&lt;=110%),"Medium", BC43&gt;110%,"High")</f>
        <v>Medium</v>
      </c>
      <c r="BC43" s="131" t="n">
        <f aca="false">VLOOKUP(TEXT(AZ43,"mmmm"),Seasonality_Table_Mediterranean,2,0)</f>
        <v>0.9</v>
      </c>
      <c r="BD43" s="132" t="n">
        <f aca="false">INDEX(Baseline_Income_Projections,MATCH(AY$2,'Country Sales &amp; Assumptions'!$G$13:$G$20,0),MATCH(Sales_Saudi_Arabia[[#This Row],[Year]],'Country Sales &amp; Assumptions'!$G$13:$L$13,0))*BC43</f>
        <v>105313.394689285</v>
      </c>
      <c r="BE43" s="132" t="n">
        <f aca="false">+BD43*0.06</f>
        <v>6318.8036813571</v>
      </c>
      <c r="BF43" s="132" t="n">
        <f aca="false">IF(BE43&lt;10000,10000-BE43,0)</f>
        <v>3681.1963186429</v>
      </c>
      <c r="BG43" s="132" t="n">
        <f aca="false">BE43+BF43</f>
        <v>10000</v>
      </c>
      <c r="BI43" s="134" t="s">
        <v>231</v>
      </c>
      <c r="BJ43" s="130" t="n">
        <v>46265</v>
      </c>
      <c r="BK43" s="130" t="str">
        <f aca="false">"Year " &amp; TEXT(YEAR(BJ43) - 2023, "0")</f>
        <v>Year 3</v>
      </c>
      <c r="BL43" s="130" t="str">
        <f aca="false">_xlfn.IFS(BM43&lt;90%,"Low",AND(BM43&gt;=90%,BM43&lt;=110%),"Medium", BM43&gt;110%,"High")</f>
        <v>Medium</v>
      </c>
      <c r="BM43" s="131" t="n">
        <f aca="false">VLOOKUP(TEXT(BJ43,"mmmm"),Seasonality_Table_Mediterranean,2,0)</f>
        <v>0.9</v>
      </c>
      <c r="BN43" s="132" t="n">
        <f aca="false">INDEX(Baseline_Income_Projections,MATCH(BI$2,'Country Sales &amp; Assumptions'!$G$13:$G$20,0),MATCH(Sales_Saudi_Arabia[[#This Row],[Year]],'Country Sales &amp; Assumptions'!$G$13:$L$13,0))*BM43</f>
        <v>127495.345170655</v>
      </c>
      <c r="BO43" s="132" t="n">
        <f aca="false">+BN43*0.06</f>
        <v>7649.72071023928</v>
      </c>
      <c r="BP43" s="132" t="n">
        <f aca="false">IF(BO43&lt;10000,10000-BO43,0)</f>
        <v>2350.27928976072</v>
      </c>
      <c r="BQ43" s="132" t="n">
        <f aca="false">BO43+BP43</f>
        <v>10000</v>
      </c>
    </row>
    <row r="44" customFormat="false" ht="11.25" hidden="false" customHeight="true" outlineLevel="0" collapsed="false">
      <c r="A44" s="134" t="s">
        <v>231</v>
      </c>
      <c r="B44" s="130" t="n">
        <v>46295</v>
      </c>
      <c r="C44" s="130" t="str">
        <f aca="false">"Year " &amp; TEXT(YEAR(B44) - 2023, "0")</f>
        <v>Year 3</v>
      </c>
      <c r="D44" s="130" t="str">
        <f aca="false">_xlfn.IFS(E44&lt;90%,"Low",AND(E44&gt;=90%,E44&lt;=110%),"Medium", E44&gt;110%,"High")</f>
        <v>Medium</v>
      </c>
      <c r="E44" s="131" t="n">
        <f aca="false">VLOOKUP(TEXT(B44,"mmmm"),Seasonality_Table_Gulf,2,0)</f>
        <v>1</v>
      </c>
      <c r="F44" s="132" t="n">
        <f aca="false">INDEX(Baseline_Income_Projections,MATCH("Saudi Arabia",'Country Sales &amp; Assumptions'!$G$13:$G$20,0),MATCH(Sales_Saudi_Arabia[[#This Row],[Year]],'Country Sales &amp; Assumptions'!$G$13:$L$13,0))*E44</f>
        <v>120434.6745</v>
      </c>
      <c r="G44" s="132" t="n">
        <f aca="false">+F44*0.06</f>
        <v>7226.08047</v>
      </c>
      <c r="H44" s="132" t="n">
        <f aca="false">IF(G44&lt;10000,10000-G44,0)</f>
        <v>2773.91953</v>
      </c>
      <c r="I44" s="132" t="n">
        <f aca="false">G44+H44</f>
        <v>10000</v>
      </c>
      <c r="K44" s="129" t="s">
        <v>231</v>
      </c>
      <c r="L44" s="130" t="n">
        <v>46295</v>
      </c>
      <c r="M44" s="130" t="str">
        <f aca="false">"Year " &amp; TEXT(YEAR(L44) - 2023, "0")</f>
        <v>Year 3</v>
      </c>
      <c r="N44" s="130" t="str">
        <f aca="false">_xlfn.IFS(O44&lt;90%,"Low",AND(O44&gt;=90%,O44&lt;=110%),"Medium", O44&gt;110%,"High")</f>
        <v>Medium</v>
      </c>
      <c r="O44" s="131" t="n">
        <f aca="false">VLOOKUP(TEXT(L44,"mmmm"),Seasonality_Table_Gulf,2,0)</f>
        <v>1</v>
      </c>
      <c r="P44" s="132" t="n">
        <f aca="false">INDEX(Baseline_Income_Projections,MATCH(K$2,'Country Sales &amp; Assumptions'!$G$13:$G$20,0),MATCH(Sales_Saudi_Arabia[[#This Row],[Year]],'Country Sales &amp; Assumptions'!$G$13:$L$13,0))*O44</f>
        <v>154885.67572</v>
      </c>
      <c r="Q44" s="132" t="n">
        <f aca="false">+P44*0.06</f>
        <v>9293.1405432</v>
      </c>
      <c r="R44" s="132" t="n">
        <f aca="false">IF(Q44&lt;10000,10000-Q44,0)</f>
        <v>706.859456800001</v>
      </c>
      <c r="S44" s="133" t="n">
        <f aca="false">Q44+R44</f>
        <v>10000</v>
      </c>
      <c r="U44" s="134" t="s">
        <v>231</v>
      </c>
      <c r="V44" s="130" t="n">
        <v>46295</v>
      </c>
      <c r="W44" s="130" t="str">
        <f aca="false">"Year " &amp; TEXT(YEAR(V44) - 2023, "0")</f>
        <v>Year 3</v>
      </c>
      <c r="X44" s="130" t="str">
        <f aca="false">_xlfn.IFS(Y44&lt;90%,"Low",AND(Y44&gt;=90%,Y44&lt;=110%),"Medium", Y44&gt;110%,"High")</f>
        <v>Medium</v>
      </c>
      <c r="Y44" s="131" t="n">
        <f aca="false">VLOOKUP(TEXT(V44,"mmmm"),Seasonality_Table_Gulf,2,0)</f>
        <v>1</v>
      </c>
      <c r="Z44" s="132" t="n">
        <f aca="false">INDEX(Baseline_Income_Projections,MATCH(U$2,'Country Sales &amp; Assumptions'!$G$13:$G$20,0),MATCH(Sales_Saudi_Arabia[[#This Row],[Year]],'Country Sales &amp; Assumptions'!$G$13:$L$13,0))*Y44</f>
        <v>162586.810575</v>
      </c>
      <c r="AA44" s="132" t="n">
        <f aca="false">+Z44*0.06</f>
        <v>9755.2086345</v>
      </c>
      <c r="AB44" s="132" t="n">
        <f aca="false">IF(AA44&lt;10000,10000-AA44,0)</f>
        <v>244.791365499999</v>
      </c>
      <c r="AC44" s="132" t="n">
        <f aca="false">AA44+AB44</f>
        <v>10000</v>
      </c>
      <c r="AE44" s="134" t="s">
        <v>231</v>
      </c>
      <c r="AF44" s="130" t="n">
        <v>46295</v>
      </c>
      <c r="AG44" s="130" t="str">
        <f aca="false">"Year " &amp; TEXT(YEAR(AF44) - 2023, "0")</f>
        <v>Year 3</v>
      </c>
      <c r="AH44" s="130" t="str">
        <f aca="false">_xlfn.IFS(AI44&lt;90%,"Low",AND(AI44&gt;=90%,AI44&lt;=110%),"Medium", AI44&gt;110%,"High")</f>
        <v>Medium</v>
      </c>
      <c r="AI44" s="131" t="n">
        <f aca="false">VLOOKUP(TEXT(AF44,"mmmm"),Seasonality_Table_Gulf,2,0)</f>
        <v>1</v>
      </c>
      <c r="AJ44" s="132" t="n">
        <f aca="false">INDEX(Baseline_Income_Projections,MATCH(AE$2,'Country Sales &amp; Assumptions'!$G$13:$G$20,0),MATCH(Sales_Saudi_Arabia[[#This Row],[Year]],'Country Sales &amp; Assumptions'!$G$13:$L$13,0))*AI44</f>
        <v>146172.45654935</v>
      </c>
      <c r="AK44" s="132" t="n">
        <f aca="false">+AJ44*0.06</f>
        <v>8770.347392961</v>
      </c>
      <c r="AL44" s="132" t="n">
        <f aca="false">IF(AK44&lt;10000,10000-AK44,0)</f>
        <v>1229.652607039</v>
      </c>
      <c r="AM44" s="132" t="n">
        <f aca="false">AK44+AL44</f>
        <v>10000</v>
      </c>
      <c r="AO44" s="134" t="s">
        <v>231</v>
      </c>
      <c r="AP44" s="130" t="n">
        <v>46295</v>
      </c>
      <c r="AQ44" s="130" t="str">
        <f aca="false">"Year " &amp; TEXT(YEAR(AP44) - 2023, "0")</f>
        <v>Year 3</v>
      </c>
      <c r="AR44" s="130" t="str">
        <f aca="false">_xlfn.IFS(AS44&lt;90%,"Low",AND(AS44&gt;=90%,AS44&lt;=110%),"Medium", AS44&gt;110%,"High")</f>
        <v>Medium</v>
      </c>
      <c r="AS44" s="131" t="n">
        <f aca="false">VLOOKUP(TEXT(AP44,"mmmm"),Seasonality_Table_Mediterranean,2,0)</f>
        <v>1.1</v>
      </c>
      <c r="AT44" s="132" t="n">
        <f aca="false">INDEX(Baseline_Income_Projections,MATCH(AO$2,'Country Sales &amp; Assumptions'!$G$13:$G$20,0),MATCH(Sales_Saudi_Arabia[[#This Row],[Year]],'Country Sales &amp; Assumptions'!$G$13:$L$13,0))*AS44</f>
        <v>142507.662735044</v>
      </c>
      <c r="AU44" s="132" t="n">
        <f aca="false">+AT44*0.06</f>
        <v>8550.45976410262</v>
      </c>
      <c r="AV44" s="132" t="n">
        <f aca="false">IF(AU44&lt;10000,10000-AU44,0)</f>
        <v>1449.54023589738</v>
      </c>
      <c r="AW44" s="132" t="n">
        <f aca="false">AU44+AV44</f>
        <v>10000</v>
      </c>
      <c r="AY44" s="134" t="s">
        <v>231</v>
      </c>
      <c r="AZ44" s="130" t="n">
        <v>46295</v>
      </c>
      <c r="BA44" s="130" t="str">
        <f aca="false">"Year " &amp; TEXT(YEAR(AZ44) - 2023, "0")</f>
        <v>Year 3</v>
      </c>
      <c r="BB44" s="130" t="str">
        <f aca="false">_xlfn.IFS(BC44&lt;90%,"Low",AND(BC44&gt;=90%,BC44&lt;=110%),"Medium", BC44&gt;110%,"High")</f>
        <v>Medium</v>
      </c>
      <c r="BC44" s="131" t="n">
        <f aca="false">VLOOKUP(TEXT(AZ44,"mmmm"),Seasonality_Table_Mediterranean,2,0)</f>
        <v>1.1</v>
      </c>
      <c r="BD44" s="132" t="n">
        <f aca="false">INDEX(Baseline_Income_Projections,MATCH(AY$2,'Country Sales &amp; Assumptions'!$G$13:$G$20,0),MATCH(Sales_Saudi_Arabia[[#This Row],[Year]],'Country Sales &amp; Assumptions'!$G$13:$L$13,0))*BC44</f>
        <v>128716.371286904</v>
      </c>
      <c r="BE44" s="132" t="n">
        <f aca="false">+BD44*0.06</f>
        <v>7722.98227721423</v>
      </c>
      <c r="BF44" s="132" t="n">
        <f aca="false">IF(BE44&lt;10000,10000-BE44,0)</f>
        <v>2277.01772278577</v>
      </c>
      <c r="BG44" s="132" t="n">
        <f aca="false">BE44+BF44</f>
        <v>10000</v>
      </c>
      <c r="BI44" s="134" t="s">
        <v>231</v>
      </c>
      <c r="BJ44" s="130" t="n">
        <v>46295</v>
      </c>
      <c r="BK44" s="130" t="str">
        <f aca="false">"Year " &amp; TEXT(YEAR(BJ44) - 2023, "0")</f>
        <v>Year 3</v>
      </c>
      <c r="BL44" s="130" t="str">
        <f aca="false">_xlfn.IFS(BM44&lt;90%,"Low",AND(BM44&gt;=90%,BM44&lt;=110%),"Medium", BM44&gt;110%,"High")</f>
        <v>Medium</v>
      </c>
      <c r="BM44" s="131" t="n">
        <f aca="false">VLOOKUP(TEXT(BJ44,"mmmm"),Seasonality_Table_Mediterranean,2,0)</f>
        <v>1.1</v>
      </c>
      <c r="BN44" s="132" t="n">
        <f aca="false">INDEX(Baseline_Income_Projections,MATCH(BI$2,'Country Sales &amp; Assumptions'!$G$13:$G$20,0),MATCH(Sales_Saudi_Arabia[[#This Row],[Year]],'Country Sales &amp; Assumptions'!$G$13:$L$13,0))*BM44</f>
        <v>155827.644097467</v>
      </c>
      <c r="BO44" s="132" t="n">
        <f aca="false">+BN44*0.06</f>
        <v>9349.65864584801</v>
      </c>
      <c r="BP44" s="132" t="n">
        <f aca="false">IF(BO44&lt;10000,10000-BO44,0)</f>
        <v>650.341354151986</v>
      </c>
      <c r="BQ44" s="132" t="n">
        <f aca="false">BO44+BP44</f>
        <v>10000</v>
      </c>
    </row>
    <row r="45" customFormat="false" ht="11.25" hidden="false" customHeight="true" outlineLevel="0" collapsed="false">
      <c r="A45" s="134" t="s">
        <v>231</v>
      </c>
      <c r="B45" s="130" t="n">
        <v>46326</v>
      </c>
      <c r="C45" s="130" t="str">
        <f aca="false">"Year " &amp; TEXT(YEAR(B45) - 2023, "0")</f>
        <v>Year 3</v>
      </c>
      <c r="D45" s="130" t="str">
        <f aca="false">_xlfn.IFS(E45&lt;90%,"Low",AND(E45&gt;=90%,E45&lt;=110%),"Medium", E45&gt;110%,"High")</f>
        <v>Medium</v>
      </c>
      <c r="E45" s="131" t="n">
        <f aca="false">VLOOKUP(TEXT(B45,"mmmm"),Seasonality_Table_Gulf,2,0)</f>
        <v>1.1</v>
      </c>
      <c r="F45" s="132" t="n">
        <f aca="false">INDEX(Baseline_Income_Projections,MATCH("Saudi Arabia",'Country Sales &amp; Assumptions'!$G$13:$G$20,0),MATCH(Sales_Saudi_Arabia[[#This Row],[Year]],'Country Sales &amp; Assumptions'!$G$13:$L$13,0))*E45</f>
        <v>132478.14195</v>
      </c>
      <c r="G45" s="132" t="n">
        <f aca="false">+F45*0.06</f>
        <v>7948.688517</v>
      </c>
      <c r="H45" s="132" t="n">
        <f aca="false">IF(G45&lt;10000,10000-G45,0)</f>
        <v>2051.311483</v>
      </c>
      <c r="I45" s="132" t="n">
        <f aca="false">G45+H45</f>
        <v>10000</v>
      </c>
      <c r="K45" s="129" t="s">
        <v>231</v>
      </c>
      <c r="L45" s="130" t="n">
        <v>46326</v>
      </c>
      <c r="M45" s="130" t="str">
        <f aca="false">"Year " &amp; TEXT(YEAR(L45) - 2023, "0")</f>
        <v>Year 3</v>
      </c>
      <c r="N45" s="130" t="str">
        <f aca="false">_xlfn.IFS(O45&lt;90%,"Low",AND(O45&gt;=90%,O45&lt;=110%),"Medium", O45&gt;110%,"High")</f>
        <v>Medium</v>
      </c>
      <c r="O45" s="131" t="n">
        <f aca="false">VLOOKUP(TEXT(L45,"mmmm"),Seasonality_Table_Gulf,2,0)</f>
        <v>1.1</v>
      </c>
      <c r="P45" s="132" t="n">
        <f aca="false">INDEX(Baseline_Income_Projections,MATCH(K$2,'Country Sales &amp; Assumptions'!$G$13:$G$20,0),MATCH(Sales_Saudi_Arabia[[#This Row],[Year]],'Country Sales &amp; Assumptions'!$G$13:$L$13,0))*O45</f>
        <v>170374.243292</v>
      </c>
      <c r="Q45" s="132" t="n">
        <f aca="false">+P45*0.06</f>
        <v>10222.45459752</v>
      </c>
      <c r="R45" s="132" t="n">
        <f aca="false">IF(Q45&lt;10000,10000-Q45,0)</f>
        <v>0</v>
      </c>
      <c r="S45" s="133" t="n">
        <f aca="false">Q45+R45</f>
        <v>10222.45459752</v>
      </c>
      <c r="U45" s="134" t="s">
        <v>231</v>
      </c>
      <c r="V45" s="130" t="n">
        <v>46326</v>
      </c>
      <c r="W45" s="130" t="str">
        <f aca="false">"Year " &amp; TEXT(YEAR(V45) - 2023, "0")</f>
        <v>Year 3</v>
      </c>
      <c r="X45" s="130" t="str">
        <f aca="false">_xlfn.IFS(Y45&lt;90%,"Low",AND(Y45&gt;=90%,Y45&lt;=110%),"Medium", Y45&gt;110%,"High")</f>
        <v>Medium</v>
      </c>
      <c r="Y45" s="131" t="n">
        <f aca="false">VLOOKUP(TEXT(V45,"mmmm"),Seasonality_Table_Gulf,2,0)</f>
        <v>1.1</v>
      </c>
      <c r="Z45" s="132" t="n">
        <f aca="false">INDEX(Baseline_Income_Projections,MATCH(U$2,'Country Sales &amp; Assumptions'!$G$13:$G$20,0),MATCH(Sales_Saudi_Arabia[[#This Row],[Year]],'Country Sales &amp; Assumptions'!$G$13:$L$13,0))*Y45</f>
        <v>178845.4916325</v>
      </c>
      <c r="AA45" s="132" t="n">
        <f aca="false">+Z45*0.06</f>
        <v>10730.72949795</v>
      </c>
      <c r="AB45" s="132" t="n">
        <f aca="false">IF(AA45&lt;10000,10000-AA45,0)</f>
        <v>0</v>
      </c>
      <c r="AC45" s="132" t="n">
        <f aca="false">AA45+AB45</f>
        <v>10730.72949795</v>
      </c>
      <c r="AE45" s="134" t="s">
        <v>231</v>
      </c>
      <c r="AF45" s="130" t="n">
        <v>46326</v>
      </c>
      <c r="AG45" s="130" t="str">
        <f aca="false">"Year " &amp; TEXT(YEAR(AF45) - 2023, "0")</f>
        <v>Year 3</v>
      </c>
      <c r="AH45" s="130" t="str">
        <f aca="false">_xlfn.IFS(AI45&lt;90%,"Low",AND(AI45&gt;=90%,AI45&lt;=110%),"Medium", AI45&gt;110%,"High")</f>
        <v>Medium</v>
      </c>
      <c r="AI45" s="131" t="n">
        <f aca="false">VLOOKUP(TEXT(AF45,"mmmm"),Seasonality_Table_Gulf,2,0)</f>
        <v>1.1</v>
      </c>
      <c r="AJ45" s="132" t="n">
        <f aca="false">INDEX(Baseline_Income_Projections,MATCH(AE$2,'Country Sales &amp; Assumptions'!$G$13:$G$20,0),MATCH(Sales_Saudi_Arabia[[#This Row],[Year]],'Country Sales &amp; Assumptions'!$G$13:$L$13,0))*AI45</f>
        <v>160789.702204285</v>
      </c>
      <c r="AK45" s="132" t="n">
        <f aca="false">+AJ45*0.06</f>
        <v>9647.3821322571</v>
      </c>
      <c r="AL45" s="132" t="n">
        <f aca="false">IF(AK45&lt;10000,10000-AK45,0)</f>
        <v>352.6178677429</v>
      </c>
      <c r="AM45" s="132" t="n">
        <f aca="false">AK45+AL45</f>
        <v>10000</v>
      </c>
      <c r="AO45" s="134" t="s">
        <v>231</v>
      </c>
      <c r="AP45" s="130" t="n">
        <v>46326</v>
      </c>
      <c r="AQ45" s="130" t="str">
        <f aca="false">"Year " &amp; TEXT(YEAR(AP45) - 2023, "0")</f>
        <v>Year 3</v>
      </c>
      <c r="AR45" s="130" t="str">
        <f aca="false">_xlfn.IFS(AS45&lt;90%,"Low",AND(AS45&gt;=90%,AS45&lt;=110%),"Medium", AS45&gt;110%,"High")</f>
        <v>High</v>
      </c>
      <c r="AS45" s="131" t="n">
        <f aca="false">VLOOKUP(TEXT(AP45,"mmmm"),Seasonality_Table_Mediterranean,2,0)</f>
        <v>1.2</v>
      </c>
      <c r="AT45" s="132" t="n">
        <f aca="false">INDEX(Baseline_Income_Projections,MATCH(AO$2,'Country Sales &amp; Assumptions'!$G$13:$G$20,0),MATCH(Sales_Saudi_Arabia[[#This Row],[Year]],'Country Sales &amp; Assumptions'!$G$13:$L$13,0))*AS45</f>
        <v>155462.904801866</v>
      </c>
      <c r="AU45" s="132" t="n">
        <f aca="false">+AT45*0.06</f>
        <v>9327.77428811194</v>
      </c>
      <c r="AV45" s="132" t="n">
        <f aca="false">IF(AU45&lt;10000,10000-AU45,0)</f>
        <v>672.225711888057</v>
      </c>
      <c r="AW45" s="132" t="n">
        <f aca="false">AU45+AV45</f>
        <v>10000</v>
      </c>
      <c r="AY45" s="134" t="s">
        <v>231</v>
      </c>
      <c r="AZ45" s="130" t="n">
        <v>46326</v>
      </c>
      <c r="BA45" s="130" t="str">
        <f aca="false">"Year " &amp; TEXT(YEAR(AZ45) - 2023, "0")</f>
        <v>Year 3</v>
      </c>
      <c r="BB45" s="130" t="str">
        <f aca="false">_xlfn.IFS(BC45&lt;90%,"Low",AND(BC45&gt;=90%,BC45&lt;=110%),"Medium", BC45&gt;110%,"High")</f>
        <v>High</v>
      </c>
      <c r="BC45" s="131" t="n">
        <f aca="false">VLOOKUP(TEXT(AZ45,"mmmm"),Seasonality_Table_Mediterranean,2,0)</f>
        <v>1.2</v>
      </c>
      <c r="BD45" s="132" t="n">
        <f aca="false">INDEX(Baseline_Income_Projections,MATCH(AY$2,'Country Sales &amp; Assumptions'!$G$13:$G$20,0),MATCH(Sales_Saudi_Arabia[[#This Row],[Year]],'Country Sales &amp; Assumptions'!$G$13:$L$13,0))*BC45</f>
        <v>140417.859585713</v>
      </c>
      <c r="BE45" s="132" t="n">
        <f aca="false">+BD45*0.06</f>
        <v>8425.0715751428</v>
      </c>
      <c r="BF45" s="132" t="n">
        <f aca="false">IF(BE45&lt;10000,10000-BE45,0)</f>
        <v>1574.9284248572</v>
      </c>
      <c r="BG45" s="132" t="n">
        <f aca="false">BE45+BF45</f>
        <v>10000</v>
      </c>
      <c r="BI45" s="134" t="s">
        <v>231</v>
      </c>
      <c r="BJ45" s="130" t="n">
        <v>46326</v>
      </c>
      <c r="BK45" s="130" t="str">
        <f aca="false">"Year " &amp; TEXT(YEAR(BJ45) - 2023, "0")</f>
        <v>Year 3</v>
      </c>
      <c r="BL45" s="130" t="str">
        <f aca="false">_xlfn.IFS(BM45&lt;90%,"Low",AND(BM45&gt;=90%,BM45&lt;=110%),"Medium", BM45&gt;110%,"High")</f>
        <v>High</v>
      </c>
      <c r="BM45" s="131" t="n">
        <f aca="false">VLOOKUP(TEXT(BJ45,"mmmm"),Seasonality_Table_Mediterranean,2,0)</f>
        <v>1.2</v>
      </c>
      <c r="BN45" s="132" t="n">
        <f aca="false">INDEX(Baseline_Income_Projections,MATCH(BI$2,'Country Sales &amp; Assumptions'!$G$13:$G$20,0),MATCH(Sales_Saudi_Arabia[[#This Row],[Year]],'Country Sales &amp; Assumptions'!$G$13:$L$13,0))*BM45</f>
        <v>169993.793560873</v>
      </c>
      <c r="BO45" s="132" t="n">
        <f aca="false">+BN45*0.06</f>
        <v>10199.6276136524</v>
      </c>
      <c r="BP45" s="132" t="n">
        <f aca="false">IF(BO45&lt;10000,10000-BO45,0)</f>
        <v>0</v>
      </c>
      <c r="BQ45" s="132" t="n">
        <f aca="false">BO45+BP45</f>
        <v>10199.6276136524</v>
      </c>
    </row>
    <row r="46" customFormat="false" ht="11.25" hidden="false" customHeight="true" outlineLevel="0" collapsed="false">
      <c r="A46" s="134" t="s">
        <v>231</v>
      </c>
      <c r="B46" s="130" t="n">
        <v>46356</v>
      </c>
      <c r="C46" s="130" t="str">
        <f aca="false">"Year " &amp; TEXT(YEAR(B46) - 2023, "0")</f>
        <v>Year 3</v>
      </c>
      <c r="D46" s="130" t="str">
        <f aca="false">_xlfn.IFS(E46&lt;90%,"Low",AND(E46&gt;=90%,E46&lt;=110%),"Medium", E46&gt;110%,"High")</f>
        <v>High</v>
      </c>
      <c r="E46" s="131" t="n">
        <f aca="false">VLOOKUP(TEXT(B46,"mmmm"),Seasonality_Table_Gulf,2,0)</f>
        <v>1.2</v>
      </c>
      <c r="F46" s="132" t="n">
        <f aca="false">INDEX(Baseline_Income_Projections,MATCH("Saudi Arabia",'Country Sales &amp; Assumptions'!$G$13:$G$20,0),MATCH(Sales_Saudi_Arabia[[#This Row],[Year]],'Country Sales &amp; Assumptions'!$G$13:$L$13,0))*E46</f>
        <v>144521.6094</v>
      </c>
      <c r="G46" s="132" t="n">
        <f aca="false">+F46*0.06</f>
        <v>8671.296564</v>
      </c>
      <c r="H46" s="132" t="n">
        <f aca="false">IF(G46&lt;10000,10000-G46,0)</f>
        <v>1328.703436</v>
      </c>
      <c r="I46" s="132" t="n">
        <f aca="false">G46+H46</f>
        <v>10000</v>
      </c>
      <c r="K46" s="129" t="s">
        <v>231</v>
      </c>
      <c r="L46" s="130" t="n">
        <v>46356</v>
      </c>
      <c r="M46" s="130" t="str">
        <f aca="false">"Year " &amp; TEXT(YEAR(L46) - 2023, "0")</f>
        <v>Year 3</v>
      </c>
      <c r="N46" s="130" t="str">
        <f aca="false">_xlfn.IFS(O46&lt;90%,"Low",AND(O46&gt;=90%,O46&lt;=110%),"Medium", O46&gt;110%,"High")</f>
        <v>High</v>
      </c>
      <c r="O46" s="131" t="n">
        <f aca="false">VLOOKUP(TEXT(L46,"mmmm"),Seasonality_Table_Gulf,2,0)</f>
        <v>1.2</v>
      </c>
      <c r="P46" s="132" t="n">
        <f aca="false">INDEX(Baseline_Income_Projections,MATCH(K$2,'Country Sales &amp; Assumptions'!$G$13:$G$20,0),MATCH(Sales_Saudi_Arabia[[#This Row],[Year]],'Country Sales &amp; Assumptions'!$G$13:$L$13,0))*O46</f>
        <v>185862.810864</v>
      </c>
      <c r="Q46" s="132" t="n">
        <f aca="false">+P46*0.06</f>
        <v>11151.76865184</v>
      </c>
      <c r="R46" s="132" t="n">
        <f aca="false">IF(Q46&lt;10000,10000-Q46,0)</f>
        <v>0</v>
      </c>
      <c r="S46" s="133" t="n">
        <f aca="false">Q46+R46</f>
        <v>11151.76865184</v>
      </c>
      <c r="U46" s="134" t="s">
        <v>231</v>
      </c>
      <c r="V46" s="130" t="n">
        <v>46356</v>
      </c>
      <c r="W46" s="130" t="str">
        <f aca="false">"Year " &amp; TEXT(YEAR(V46) - 2023, "0")</f>
        <v>Year 3</v>
      </c>
      <c r="X46" s="130" t="str">
        <f aca="false">_xlfn.IFS(Y46&lt;90%,"Low",AND(Y46&gt;=90%,Y46&lt;=110%),"Medium", Y46&gt;110%,"High")</f>
        <v>High</v>
      </c>
      <c r="Y46" s="131" t="n">
        <f aca="false">VLOOKUP(TEXT(V46,"mmmm"),Seasonality_Table_Gulf,2,0)</f>
        <v>1.2</v>
      </c>
      <c r="Z46" s="132" t="n">
        <f aca="false">INDEX(Baseline_Income_Projections,MATCH(U$2,'Country Sales &amp; Assumptions'!$G$13:$G$20,0),MATCH(Sales_Saudi_Arabia[[#This Row],[Year]],'Country Sales &amp; Assumptions'!$G$13:$L$13,0))*Y46</f>
        <v>195104.17269</v>
      </c>
      <c r="AA46" s="132" t="n">
        <f aca="false">+Z46*0.06</f>
        <v>11706.2503614</v>
      </c>
      <c r="AB46" s="132" t="n">
        <f aca="false">IF(AA46&lt;10000,10000-AA46,0)</f>
        <v>0</v>
      </c>
      <c r="AC46" s="132" t="n">
        <f aca="false">AA46+AB46</f>
        <v>11706.2503614</v>
      </c>
      <c r="AE46" s="134" t="s">
        <v>231</v>
      </c>
      <c r="AF46" s="130" t="n">
        <v>46356</v>
      </c>
      <c r="AG46" s="130" t="str">
        <f aca="false">"Year " &amp; TEXT(YEAR(AF46) - 2023, "0")</f>
        <v>Year 3</v>
      </c>
      <c r="AH46" s="130" t="str">
        <f aca="false">_xlfn.IFS(AI46&lt;90%,"Low",AND(AI46&gt;=90%,AI46&lt;=110%),"Medium", AI46&gt;110%,"High")</f>
        <v>High</v>
      </c>
      <c r="AI46" s="131" t="n">
        <f aca="false">VLOOKUP(TEXT(AF46,"mmmm"),Seasonality_Table_Gulf,2,0)</f>
        <v>1.2</v>
      </c>
      <c r="AJ46" s="132" t="n">
        <f aca="false">INDEX(Baseline_Income_Projections,MATCH(AE$2,'Country Sales &amp; Assumptions'!$G$13:$G$20,0),MATCH(Sales_Saudi_Arabia[[#This Row],[Year]],'Country Sales &amp; Assumptions'!$G$13:$L$13,0))*AI46</f>
        <v>175406.94785922</v>
      </c>
      <c r="AK46" s="132" t="n">
        <f aca="false">+AJ46*0.06</f>
        <v>10524.4168715532</v>
      </c>
      <c r="AL46" s="132" t="n">
        <f aca="false">IF(AK46&lt;10000,10000-AK46,0)</f>
        <v>0</v>
      </c>
      <c r="AM46" s="132" t="n">
        <f aca="false">AK46+AL46</f>
        <v>10524.4168715532</v>
      </c>
      <c r="AO46" s="134" t="s">
        <v>231</v>
      </c>
      <c r="AP46" s="130" t="n">
        <v>46356</v>
      </c>
      <c r="AQ46" s="130" t="str">
        <f aca="false">"Year " &amp; TEXT(YEAR(AP46) - 2023, "0")</f>
        <v>Year 3</v>
      </c>
      <c r="AR46" s="130" t="str">
        <f aca="false">_xlfn.IFS(AS46&lt;90%,"Low",AND(AS46&gt;=90%,AS46&lt;=110%),"Medium", AS46&gt;110%,"High")</f>
        <v>Medium</v>
      </c>
      <c r="AS46" s="131" t="n">
        <f aca="false">VLOOKUP(TEXT(AP46,"mmmm"),Seasonality_Table_Mediterranean,2,0)</f>
        <v>1</v>
      </c>
      <c r="AT46" s="132" t="n">
        <f aca="false">INDEX(Baseline_Income_Projections,MATCH(AO$2,'Country Sales &amp; Assumptions'!$G$13:$G$20,0),MATCH(Sales_Saudi_Arabia[[#This Row],[Year]],'Country Sales &amp; Assumptions'!$G$13:$L$13,0))*AS46</f>
        <v>129552.420668221</v>
      </c>
      <c r="AU46" s="132" t="n">
        <f aca="false">+AT46*0.06</f>
        <v>7773.14524009329</v>
      </c>
      <c r="AV46" s="132" t="n">
        <f aca="false">IF(AU46&lt;10000,10000-AU46,0)</f>
        <v>2226.85475990671</v>
      </c>
      <c r="AW46" s="132" t="n">
        <f aca="false">AU46+AV46</f>
        <v>10000</v>
      </c>
      <c r="AY46" s="134" t="s">
        <v>231</v>
      </c>
      <c r="AZ46" s="130" t="n">
        <v>46356</v>
      </c>
      <c r="BA46" s="130" t="str">
        <f aca="false">"Year " &amp; TEXT(YEAR(AZ46) - 2023, "0")</f>
        <v>Year 3</v>
      </c>
      <c r="BB46" s="130" t="str">
        <f aca="false">_xlfn.IFS(BC46&lt;90%,"Low",AND(BC46&gt;=90%,BC46&lt;=110%),"Medium", BC46&gt;110%,"High")</f>
        <v>Medium</v>
      </c>
      <c r="BC46" s="131" t="n">
        <f aca="false">VLOOKUP(TEXT(AZ46,"mmmm"),Seasonality_Table_Mediterranean,2,0)</f>
        <v>1</v>
      </c>
      <c r="BD46" s="132" t="n">
        <f aca="false">INDEX(Baseline_Income_Projections,MATCH(AY$2,'Country Sales &amp; Assumptions'!$G$13:$G$20,0),MATCH(Sales_Saudi_Arabia[[#This Row],[Year]],'Country Sales &amp; Assumptions'!$G$13:$L$13,0))*BC46</f>
        <v>117014.882988094</v>
      </c>
      <c r="BE46" s="132" t="n">
        <f aca="false">+BD46*0.06</f>
        <v>7020.89297928567</v>
      </c>
      <c r="BF46" s="132" t="n">
        <f aca="false">IF(BE46&lt;10000,10000-BE46,0)</f>
        <v>2979.10702071433</v>
      </c>
      <c r="BG46" s="132" t="n">
        <f aca="false">BE46+BF46</f>
        <v>10000</v>
      </c>
      <c r="BI46" s="134" t="s">
        <v>231</v>
      </c>
      <c r="BJ46" s="130" t="n">
        <v>46356</v>
      </c>
      <c r="BK46" s="130" t="str">
        <f aca="false">"Year " &amp; TEXT(YEAR(BJ46) - 2023, "0")</f>
        <v>Year 3</v>
      </c>
      <c r="BL46" s="130" t="str">
        <f aca="false">_xlfn.IFS(BM46&lt;90%,"Low",AND(BM46&gt;=90%,BM46&lt;=110%),"Medium", BM46&gt;110%,"High")</f>
        <v>Medium</v>
      </c>
      <c r="BM46" s="131" t="n">
        <f aca="false">VLOOKUP(TEXT(BJ46,"mmmm"),Seasonality_Table_Mediterranean,2,0)</f>
        <v>1</v>
      </c>
      <c r="BN46" s="132" t="n">
        <f aca="false">INDEX(Baseline_Income_Projections,MATCH(BI$2,'Country Sales &amp; Assumptions'!$G$13:$G$20,0),MATCH(Sales_Saudi_Arabia[[#This Row],[Year]],'Country Sales &amp; Assumptions'!$G$13:$L$13,0))*BM46</f>
        <v>141661.494634061</v>
      </c>
      <c r="BO46" s="132" t="n">
        <f aca="false">+BN46*0.06</f>
        <v>8499.68967804365</v>
      </c>
      <c r="BP46" s="132" t="n">
        <f aca="false">IF(BO46&lt;10000,10000-BO46,0)</f>
        <v>1500.31032195635</v>
      </c>
      <c r="BQ46" s="132" t="n">
        <f aca="false">BO46+BP46</f>
        <v>10000</v>
      </c>
    </row>
    <row r="47" customFormat="false" ht="11.25" hidden="false" customHeight="true" outlineLevel="0" collapsed="false">
      <c r="A47" s="134" t="s">
        <v>231</v>
      </c>
      <c r="B47" s="130" t="n">
        <v>46387</v>
      </c>
      <c r="C47" s="130" t="str">
        <f aca="false">"Year " &amp; TEXT(YEAR(B47) - 2023, "0")</f>
        <v>Year 3</v>
      </c>
      <c r="D47" s="130" t="str">
        <f aca="false">_xlfn.IFS(E47&lt;90%,"Low",AND(E47&gt;=90%,E47&lt;=110%),"Medium", E47&gt;110%,"High")</f>
        <v>High</v>
      </c>
      <c r="E47" s="131" t="n">
        <f aca="false">VLOOKUP(TEXT(B47,"mmmm"),Seasonality_Table_Gulf,2,0)</f>
        <v>1.3</v>
      </c>
      <c r="F47" s="132" t="n">
        <f aca="false">INDEX(Baseline_Income_Projections,MATCH("Saudi Arabia",'Country Sales &amp; Assumptions'!$G$13:$G$20,0),MATCH(Sales_Saudi_Arabia[[#This Row],[Year]],'Country Sales &amp; Assumptions'!$G$13:$L$13,0))*E47</f>
        <v>156565.07685</v>
      </c>
      <c r="G47" s="132" t="n">
        <f aca="false">+F47*0.06</f>
        <v>9393.904611</v>
      </c>
      <c r="H47" s="132" t="n">
        <f aca="false">IF(G47&lt;10000,10000-G47,0)</f>
        <v>606.095389</v>
      </c>
      <c r="I47" s="132" t="n">
        <f aca="false">G47+H47</f>
        <v>10000</v>
      </c>
      <c r="K47" s="136" t="s">
        <v>231</v>
      </c>
      <c r="L47" s="137" t="n">
        <v>46387</v>
      </c>
      <c r="M47" s="137" t="str">
        <f aca="false">"Year " &amp; TEXT(YEAR(L47) - 2023, "0")</f>
        <v>Year 3</v>
      </c>
      <c r="N47" s="137" t="str">
        <f aca="false">_xlfn.IFS(O47&lt;90%,"Low",AND(O47&gt;=90%,O47&lt;=110%),"Medium", O47&gt;110%,"High")</f>
        <v>High</v>
      </c>
      <c r="O47" s="138" t="n">
        <f aca="false">VLOOKUP(TEXT(L47,"mmmm"),Seasonality_Table_Gulf,2,0)</f>
        <v>1.3</v>
      </c>
      <c r="P47" s="139" t="n">
        <f aca="false">INDEX(Baseline_Income_Projections,MATCH(K$2,'Country Sales &amp; Assumptions'!$G$13:$G$20,0),MATCH(Sales_Saudi_Arabia[[#This Row],[Year]],'Country Sales &amp; Assumptions'!$G$13:$L$13,0))*O47</f>
        <v>201351.378436</v>
      </c>
      <c r="Q47" s="139" t="n">
        <f aca="false">+P47*0.06</f>
        <v>12081.08270616</v>
      </c>
      <c r="R47" s="139" t="n">
        <f aca="false">IF(Q47&lt;10000,10000-Q47,0)</f>
        <v>0</v>
      </c>
      <c r="S47" s="140" t="n">
        <f aca="false">Q47+R47</f>
        <v>12081.08270616</v>
      </c>
      <c r="U47" s="134" t="s">
        <v>231</v>
      </c>
      <c r="V47" s="130" t="n">
        <v>46387</v>
      </c>
      <c r="W47" s="130" t="str">
        <f aca="false">"Year " &amp; TEXT(YEAR(V47) - 2023, "0")</f>
        <v>Year 3</v>
      </c>
      <c r="X47" s="130" t="str">
        <f aca="false">_xlfn.IFS(Y47&lt;90%,"Low",AND(Y47&gt;=90%,Y47&lt;=110%),"Medium", Y47&gt;110%,"High")</f>
        <v>High</v>
      </c>
      <c r="Y47" s="131" t="n">
        <f aca="false">VLOOKUP(TEXT(V47,"mmmm"),Seasonality_Table_Gulf,2,0)</f>
        <v>1.3</v>
      </c>
      <c r="Z47" s="132" t="n">
        <f aca="false">INDEX(Baseline_Income_Projections,MATCH(U$2,'Country Sales &amp; Assumptions'!$G$13:$G$20,0),MATCH(Sales_Saudi_Arabia[[#This Row],[Year]],'Country Sales &amp; Assumptions'!$G$13:$L$13,0))*Y47</f>
        <v>211362.8537475</v>
      </c>
      <c r="AA47" s="132" t="n">
        <f aca="false">+Z47*0.06</f>
        <v>12681.77122485</v>
      </c>
      <c r="AB47" s="132" t="n">
        <f aca="false">IF(AA47&lt;10000,10000-AA47,0)</f>
        <v>0</v>
      </c>
      <c r="AC47" s="132" t="n">
        <f aca="false">AA47+AB47</f>
        <v>12681.77122485</v>
      </c>
      <c r="AE47" s="134" t="s">
        <v>231</v>
      </c>
      <c r="AF47" s="130" t="n">
        <v>46387</v>
      </c>
      <c r="AG47" s="130" t="str">
        <f aca="false">"Year " &amp; TEXT(YEAR(AF47) - 2023, "0")</f>
        <v>Year 3</v>
      </c>
      <c r="AH47" s="130" t="str">
        <f aca="false">_xlfn.IFS(AI47&lt;90%,"Low",AND(AI47&gt;=90%,AI47&lt;=110%),"Medium", AI47&gt;110%,"High")</f>
        <v>High</v>
      </c>
      <c r="AI47" s="131" t="n">
        <f aca="false">VLOOKUP(TEXT(AF47,"mmmm"),Seasonality_Table_Gulf,2,0)</f>
        <v>1.3</v>
      </c>
      <c r="AJ47" s="132" t="n">
        <f aca="false">INDEX(Baseline_Income_Projections,MATCH(AE$2,'Country Sales &amp; Assumptions'!$G$13:$G$20,0),MATCH(Sales_Saudi_Arabia[[#This Row],[Year]],'Country Sales &amp; Assumptions'!$G$13:$L$13,0))*AI47</f>
        <v>190024.193514155</v>
      </c>
      <c r="AK47" s="132" t="n">
        <f aca="false">+AJ47*0.06</f>
        <v>11401.4516108493</v>
      </c>
      <c r="AL47" s="132" t="n">
        <f aca="false">IF(AK47&lt;10000,10000-AK47,0)</f>
        <v>0</v>
      </c>
      <c r="AM47" s="132" t="n">
        <f aca="false">AK47+AL47</f>
        <v>11401.4516108493</v>
      </c>
      <c r="AO47" s="134" t="s">
        <v>231</v>
      </c>
      <c r="AP47" s="130" t="n">
        <v>46387</v>
      </c>
      <c r="AQ47" s="130" t="str">
        <f aca="false">"Year " &amp; TEXT(YEAR(AP47) - 2023, "0")</f>
        <v>Year 3</v>
      </c>
      <c r="AR47" s="130" t="str">
        <f aca="false">_xlfn.IFS(AS47&lt;90%,"Low",AND(AS47&gt;=90%,AS47&lt;=110%),"Medium", AS47&gt;110%,"High")</f>
        <v>High</v>
      </c>
      <c r="AS47" s="131" t="n">
        <f aca="false">VLOOKUP(TEXT(AP47,"mmmm"),Seasonality_Table_Mediterranean,2,0)</f>
        <v>1.2</v>
      </c>
      <c r="AT47" s="132" t="n">
        <f aca="false">INDEX(Baseline_Income_Projections,MATCH(AO$2,'Country Sales &amp; Assumptions'!$G$13:$G$20,0),MATCH(Sales_Saudi_Arabia[[#This Row],[Year]],'Country Sales &amp; Assumptions'!$G$13:$L$13,0))*AS47</f>
        <v>155462.904801866</v>
      </c>
      <c r="AU47" s="132" t="n">
        <f aca="false">+AT47*0.06</f>
        <v>9327.77428811194</v>
      </c>
      <c r="AV47" s="132" t="n">
        <f aca="false">IF(AU47&lt;10000,10000-AU47,0)</f>
        <v>672.225711888057</v>
      </c>
      <c r="AW47" s="132" t="n">
        <f aca="false">AU47+AV47</f>
        <v>10000</v>
      </c>
      <c r="AY47" s="134" t="s">
        <v>231</v>
      </c>
      <c r="AZ47" s="130" t="n">
        <v>46387</v>
      </c>
      <c r="BA47" s="130" t="str">
        <f aca="false">"Year " &amp; TEXT(YEAR(AZ47) - 2023, "0")</f>
        <v>Year 3</v>
      </c>
      <c r="BB47" s="130" t="str">
        <f aca="false">_xlfn.IFS(BC47&lt;90%,"Low",AND(BC47&gt;=90%,BC47&lt;=110%),"Medium", BC47&gt;110%,"High")</f>
        <v>High</v>
      </c>
      <c r="BC47" s="131" t="n">
        <f aca="false">VLOOKUP(TEXT(AZ47,"mmmm"),Seasonality_Table_Mediterranean,2,0)</f>
        <v>1.2</v>
      </c>
      <c r="BD47" s="132" t="n">
        <f aca="false">INDEX(Baseline_Income_Projections,MATCH(AY$2,'Country Sales &amp; Assumptions'!$G$13:$G$20,0),MATCH(Sales_Saudi_Arabia[[#This Row],[Year]],'Country Sales &amp; Assumptions'!$G$13:$L$13,0))*BC47</f>
        <v>140417.859585713</v>
      </c>
      <c r="BE47" s="132" t="n">
        <f aca="false">+BD47*0.06</f>
        <v>8425.0715751428</v>
      </c>
      <c r="BF47" s="132" t="n">
        <f aca="false">IF(BE47&lt;10000,10000-BE47,0)</f>
        <v>1574.9284248572</v>
      </c>
      <c r="BG47" s="132" t="n">
        <f aca="false">BE47+BF47</f>
        <v>10000</v>
      </c>
      <c r="BI47" s="134" t="s">
        <v>231</v>
      </c>
      <c r="BJ47" s="130" t="n">
        <v>46387</v>
      </c>
      <c r="BK47" s="130" t="str">
        <f aca="false">"Year " &amp; TEXT(YEAR(BJ47) - 2023, "0")</f>
        <v>Year 3</v>
      </c>
      <c r="BL47" s="130" t="str">
        <f aca="false">_xlfn.IFS(BM47&lt;90%,"Low",AND(BM47&gt;=90%,BM47&lt;=110%),"Medium", BM47&gt;110%,"High")</f>
        <v>High</v>
      </c>
      <c r="BM47" s="131" t="n">
        <f aca="false">VLOOKUP(TEXT(BJ47,"mmmm"),Seasonality_Table_Mediterranean,2,0)</f>
        <v>1.2</v>
      </c>
      <c r="BN47" s="132" t="n">
        <f aca="false">INDEX(Baseline_Income_Projections,MATCH(BI$2,'Country Sales &amp; Assumptions'!$G$13:$G$20,0),MATCH(Sales_Saudi_Arabia[[#This Row],[Year]],'Country Sales &amp; Assumptions'!$G$13:$L$13,0))*BM47</f>
        <v>169993.793560873</v>
      </c>
      <c r="BO47" s="132" t="n">
        <f aca="false">+BN47*0.06</f>
        <v>10199.6276136524</v>
      </c>
      <c r="BP47" s="132" t="n">
        <f aca="false">IF(BO47&lt;10000,10000-BO47,0)</f>
        <v>0</v>
      </c>
      <c r="BQ47" s="132" t="n">
        <f aca="false">BO47+BP47</f>
        <v>10199.6276136524</v>
      </c>
    </row>
  </sheetData>
  <mergeCells count="7">
    <mergeCell ref="A2:I2"/>
    <mergeCell ref="K2:S2"/>
    <mergeCell ref="U2:AC2"/>
    <mergeCell ref="AE2:AM2"/>
    <mergeCell ref="AO2:AW2"/>
    <mergeCell ref="AY2:BG2"/>
    <mergeCell ref="BI2:BQ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32" activeCellId="0" sqref="F32"/>
    </sheetView>
  </sheetViews>
  <sheetFormatPr defaultColWidth="8.6796875" defaultRowHeight="14.25" zeroHeight="false" outlineLevelRow="0" outlineLevelCol="0"/>
  <cols>
    <col collapsed="false" customWidth="true" hidden="false" outlineLevel="0" max="2" min="2" style="0" width="26.59"/>
    <col collapsed="false" customWidth="true" hidden="false" outlineLevel="0" max="3" min="3" style="0" width="26.73"/>
    <col collapsed="false" customWidth="true" hidden="false" outlineLevel="0" max="4" min="4" style="0" width="23.4"/>
    <col collapsed="false" customWidth="true" hidden="false" outlineLevel="0" max="5" min="5" style="0" width="32.2"/>
    <col collapsed="false" customWidth="true" hidden="false" outlineLevel="0" max="6" min="6" style="0" width="41.14"/>
  </cols>
  <sheetData>
    <row r="2" customFormat="false" ht="14.25" hidden="false" customHeight="false" outlineLevel="0" collapsed="false">
      <c r="B2" s="141" t="s">
        <v>232</v>
      </c>
      <c r="C2" s="141" t="s">
        <v>233</v>
      </c>
      <c r="D2" s="141" t="s">
        <v>234</v>
      </c>
      <c r="E2" s="141" t="s">
        <v>235</v>
      </c>
      <c r="F2" s="141" t="s">
        <v>236</v>
      </c>
    </row>
    <row r="3" customFormat="false" ht="14.25" hidden="false" customHeight="false" outlineLevel="0" collapsed="false">
      <c r="B3" s="142" t="s">
        <v>237</v>
      </c>
      <c r="C3" s="142"/>
      <c r="D3" s="142"/>
      <c r="E3" s="142"/>
      <c r="F3" s="142"/>
    </row>
    <row r="4" customFormat="false" ht="14.25" hidden="false" customHeight="false" outlineLevel="0" collapsed="false">
      <c r="B4" s="143" t="s">
        <v>238</v>
      </c>
      <c r="C4" s="144" t="n">
        <v>5000</v>
      </c>
      <c r="D4" s="143" t="s">
        <v>239</v>
      </c>
      <c r="E4" s="143" t="s">
        <v>240</v>
      </c>
      <c r="F4" s="143" t="s">
        <v>241</v>
      </c>
    </row>
    <row r="5" customFormat="false" ht="14.25" hidden="false" customHeight="false" outlineLevel="0" collapsed="false">
      <c r="B5" s="143" t="s">
        <v>242</v>
      </c>
      <c r="C5" s="143" t="s">
        <v>243</v>
      </c>
      <c r="D5" s="143" t="s">
        <v>244</v>
      </c>
      <c r="E5" s="143" t="s">
        <v>245</v>
      </c>
      <c r="F5" s="143" t="s">
        <v>246</v>
      </c>
    </row>
    <row r="6" customFormat="false" ht="14.25" hidden="false" customHeight="false" outlineLevel="0" collapsed="false">
      <c r="B6" s="143" t="s">
        <v>247</v>
      </c>
      <c r="C6" s="143" t="s">
        <v>248</v>
      </c>
      <c r="D6" s="143" t="s">
        <v>244</v>
      </c>
      <c r="E6" s="143" t="s">
        <v>249</v>
      </c>
      <c r="F6" s="143" t="s">
        <v>250</v>
      </c>
    </row>
    <row r="7" customFormat="false" ht="14.25" hidden="false" customHeight="false" outlineLevel="0" collapsed="false">
      <c r="B7" s="143" t="s">
        <v>206</v>
      </c>
      <c r="C7" s="143" t="s">
        <v>251</v>
      </c>
      <c r="D7" s="143" t="s">
        <v>205</v>
      </c>
      <c r="E7" s="143" t="s">
        <v>249</v>
      </c>
      <c r="F7" s="143" t="s">
        <v>252</v>
      </c>
    </row>
    <row r="8" customFormat="false" ht="14.25" hidden="false" customHeight="false" outlineLevel="0" collapsed="false">
      <c r="B8" s="143" t="s">
        <v>208</v>
      </c>
      <c r="C8" s="143" t="s">
        <v>253</v>
      </c>
      <c r="D8" s="143" t="s">
        <v>205</v>
      </c>
      <c r="E8" s="143" t="s">
        <v>249</v>
      </c>
      <c r="F8" s="143" t="s">
        <v>252</v>
      </c>
    </row>
    <row r="9" customFormat="false" ht="14.25" hidden="false" customHeight="false" outlineLevel="0" collapsed="false">
      <c r="B9" s="143" t="s">
        <v>209</v>
      </c>
      <c r="C9" s="144" t="n">
        <v>4000</v>
      </c>
      <c r="D9" s="143" t="s">
        <v>205</v>
      </c>
      <c r="E9" s="143" t="s">
        <v>254</v>
      </c>
      <c r="F9" s="143" t="s">
        <v>255</v>
      </c>
    </row>
    <row r="10" customFormat="false" ht="14.25" hidden="false" customHeight="false" outlineLevel="0" collapsed="false">
      <c r="B10" s="143" t="s">
        <v>256</v>
      </c>
      <c r="C10" s="144" t="n">
        <v>4000</v>
      </c>
      <c r="D10" s="143" t="s">
        <v>205</v>
      </c>
      <c r="E10" s="143" t="s">
        <v>257</v>
      </c>
      <c r="F10" s="143" t="s">
        <v>255</v>
      </c>
    </row>
    <row r="11" customFormat="false" ht="14.25" hidden="false" customHeight="false" outlineLevel="0" collapsed="false">
      <c r="B11" s="143" t="s">
        <v>258</v>
      </c>
      <c r="C11" s="144" t="n">
        <v>4000</v>
      </c>
      <c r="D11" s="143" t="s">
        <v>205</v>
      </c>
      <c r="E11" s="143" t="s">
        <v>257</v>
      </c>
      <c r="F11" s="143" t="s">
        <v>255</v>
      </c>
    </row>
    <row r="12" customFormat="false" ht="14.25" hidden="false" customHeight="false" outlineLevel="0" collapsed="false">
      <c r="B12" s="143" t="s">
        <v>213</v>
      </c>
      <c r="C12" s="143" t="s">
        <v>259</v>
      </c>
      <c r="D12" s="143" t="s">
        <v>244</v>
      </c>
      <c r="E12" s="143" t="s">
        <v>260</v>
      </c>
      <c r="F12" s="143" t="s">
        <v>261</v>
      </c>
    </row>
    <row r="13" customFormat="false" ht="14.25" hidden="false" customHeight="false" outlineLevel="0" collapsed="false">
      <c r="B13" s="143" t="s">
        <v>215</v>
      </c>
      <c r="C13" s="144" t="n">
        <v>5000</v>
      </c>
      <c r="D13" s="143" t="s">
        <v>244</v>
      </c>
      <c r="E13" s="143" t="s">
        <v>262</v>
      </c>
      <c r="F13" s="143" t="s">
        <v>263</v>
      </c>
    </row>
    <row r="14" customFormat="false" ht="14.25" hidden="false" customHeight="false" outlineLevel="0" collapsed="false">
      <c r="B14" s="142" t="s">
        <v>264</v>
      </c>
      <c r="C14" s="142"/>
      <c r="D14" s="142"/>
      <c r="E14" s="142"/>
      <c r="F14" s="142"/>
    </row>
    <row r="15" customFormat="false" ht="14.25" hidden="false" customHeight="false" outlineLevel="0" collapsed="false">
      <c r="B15" s="143" t="s">
        <v>265</v>
      </c>
      <c r="C15" s="143" t="s">
        <v>266</v>
      </c>
      <c r="D15" s="143" t="s">
        <v>267</v>
      </c>
      <c r="E15" s="143" t="s">
        <v>263</v>
      </c>
      <c r="F15" s="143" t="s">
        <v>268</v>
      </c>
    </row>
    <row r="16" customFormat="false" ht="14.25" hidden="false" customHeight="false" outlineLevel="0" collapsed="false">
      <c r="B16" s="143" t="s">
        <v>269</v>
      </c>
      <c r="C16" s="143" t="s">
        <v>263</v>
      </c>
      <c r="D16" s="143" t="s">
        <v>270</v>
      </c>
      <c r="E16" s="143" t="s">
        <v>263</v>
      </c>
      <c r="F16" s="143" t="s">
        <v>268</v>
      </c>
    </row>
    <row r="17" customFormat="false" ht="14.25" hidden="false" customHeight="false" outlineLevel="0" collapsed="false">
      <c r="B17" s="143" t="s">
        <v>200</v>
      </c>
      <c r="C17" s="143" t="s">
        <v>263</v>
      </c>
      <c r="D17" s="143" t="s">
        <v>271</v>
      </c>
      <c r="E17" s="143" t="s">
        <v>272</v>
      </c>
      <c r="F17" s="143" t="s">
        <v>273</v>
      </c>
    </row>
    <row r="18" customFormat="false" ht="14.25" hidden="false" customHeight="false" outlineLevel="0" collapsed="false">
      <c r="B18" s="143" t="s">
        <v>274</v>
      </c>
      <c r="C18" s="143" t="s">
        <v>275</v>
      </c>
      <c r="D18" s="143" t="s">
        <v>276</v>
      </c>
      <c r="E18" s="143" t="s">
        <v>277</v>
      </c>
      <c r="F18" s="143" t="s">
        <v>278</v>
      </c>
    </row>
    <row r="19" customFormat="false" ht="14.25" hidden="false" customHeight="false" outlineLevel="0" collapsed="false">
      <c r="B19" s="143" t="s">
        <v>279</v>
      </c>
      <c r="C19" s="143" t="s">
        <v>275</v>
      </c>
      <c r="D19" s="143" t="s">
        <v>276</v>
      </c>
      <c r="E19" s="143" t="s">
        <v>277</v>
      </c>
      <c r="F19" s="143" t="s">
        <v>280</v>
      </c>
    </row>
    <row r="20" customFormat="false" ht="14.25" hidden="false" customHeight="false" outlineLevel="0" collapsed="false">
      <c r="B20" s="143" t="s">
        <v>281</v>
      </c>
      <c r="C20" s="143" t="s">
        <v>275</v>
      </c>
      <c r="D20" s="143" t="s">
        <v>244</v>
      </c>
      <c r="E20" s="143" t="s">
        <v>282</v>
      </c>
      <c r="F20" s="143" t="s">
        <v>283</v>
      </c>
    </row>
    <row r="21" customFormat="false" ht="14.25" hidden="false" customHeight="false" outlineLevel="0" collapsed="false">
      <c r="B21" s="143" t="s">
        <v>284</v>
      </c>
      <c r="C21" s="143" t="s">
        <v>275</v>
      </c>
      <c r="D21" s="143" t="s">
        <v>244</v>
      </c>
      <c r="E21" s="143" t="s">
        <v>285</v>
      </c>
      <c r="F21" s="143" t="s">
        <v>286</v>
      </c>
    </row>
    <row r="22" customFormat="false" ht="14.25" hidden="false" customHeight="false" outlineLevel="0" collapsed="false">
      <c r="B22" s="143" t="s">
        <v>287</v>
      </c>
      <c r="C22" s="143" t="s">
        <v>288</v>
      </c>
      <c r="D22" s="143" t="s">
        <v>244</v>
      </c>
      <c r="E22" s="143" t="s">
        <v>262</v>
      </c>
      <c r="F22" s="143" t="s">
        <v>289</v>
      </c>
    </row>
    <row r="23" customFormat="false" ht="14.25" hidden="false" customHeight="false" outlineLevel="0" collapsed="false">
      <c r="B23" s="143" t="s">
        <v>290</v>
      </c>
      <c r="C23" s="143" t="s">
        <v>275</v>
      </c>
      <c r="D23" s="143" t="s">
        <v>271</v>
      </c>
      <c r="E23" s="143" t="s">
        <v>291</v>
      </c>
      <c r="F23" s="143" t="s">
        <v>292</v>
      </c>
    </row>
    <row r="24" customFormat="false" ht="14.25" hidden="false" customHeight="false" outlineLevel="0" collapsed="false">
      <c r="B24" s="143" t="s">
        <v>293</v>
      </c>
      <c r="C24" s="143" t="s">
        <v>275</v>
      </c>
      <c r="D24" s="143" t="s">
        <v>244</v>
      </c>
      <c r="E24" s="143" t="s">
        <v>277</v>
      </c>
      <c r="F24" s="143" t="s">
        <v>294</v>
      </c>
    </row>
    <row r="25" customFormat="false" ht="14.25" hidden="false" customHeight="false" outlineLevel="0" collapsed="false">
      <c r="B25" s="143" t="s">
        <v>295</v>
      </c>
      <c r="C25" s="143" t="s">
        <v>275</v>
      </c>
      <c r="D25" s="143" t="s">
        <v>271</v>
      </c>
      <c r="E25" s="143" t="s">
        <v>296</v>
      </c>
      <c r="F25" s="143" t="s">
        <v>297</v>
      </c>
    </row>
    <row r="26" customFormat="false" ht="14.25" hidden="false" customHeight="false" outlineLevel="0" collapsed="false">
      <c r="B26" s="145" t="s">
        <v>298</v>
      </c>
      <c r="C26" s="145" t="s">
        <v>275</v>
      </c>
      <c r="D26" s="145" t="s">
        <v>244</v>
      </c>
      <c r="E26" s="145" t="s">
        <v>277</v>
      </c>
      <c r="F26" s="145" t="s">
        <v>299</v>
      </c>
    </row>
  </sheetData>
  <mergeCells count="2">
    <mergeCell ref="B3:F3"/>
    <mergeCell ref="B14:F1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2023-12-05T10:54:17Z</dcterms:created>
  <dc:creator>Isaac</dc:creator>
  <dc:description/>
  <dc:language>en-US</dc:language>
  <cp:lastModifiedBy>Isaac Martinez Barcia</cp:lastModifiedBy>
  <cp:lastPrinted>2023-12-15T10:46:54Z</cp:lastPrinted>
  <dcterms:modified xsi:type="dcterms:W3CDTF">2026-08-03T18:10:38Z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